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8795" windowHeight="10995"/>
  </bookViews>
  <sheets>
    <sheet name="III год реал факт" sheetId="1" r:id="rId1"/>
  </sheets>
  <externalReferences>
    <externalReference r:id="rId2"/>
  </externalReferences>
  <definedNames>
    <definedName name="_xlnm.Print_Area" localSheetId="0">'III год реал факт'!$A$1:$G$134</definedName>
  </definedNames>
  <calcPr calcId="125725"/>
</workbook>
</file>

<file path=xl/calcChain.xml><?xml version="1.0" encoding="utf-8"?>
<calcChain xmlns="http://schemas.openxmlformats.org/spreadsheetml/2006/main">
  <c r="E123" i="1"/>
  <c r="F123" s="1"/>
  <c r="F122"/>
  <c r="E122"/>
  <c r="E121"/>
  <c r="F120"/>
  <c r="F119"/>
  <c r="D119"/>
  <c r="F117"/>
  <c r="D117"/>
  <c r="E114"/>
  <c r="F114" s="1"/>
  <c r="D113"/>
  <c r="F113" s="1"/>
  <c r="E111"/>
  <c r="F111" s="1"/>
  <c r="E110"/>
  <c r="F109"/>
  <c r="F106"/>
  <c r="F105"/>
  <c r="F104"/>
  <c r="E103"/>
  <c r="F103" s="1"/>
  <c r="F102"/>
  <c r="F101"/>
  <c r="F100"/>
  <c r="F99"/>
  <c r="F98"/>
  <c r="F97"/>
  <c r="E95"/>
  <c r="F95" s="1"/>
  <c r="F94"/>
  <c r="D93"/>
  <c r="F92"/>
  <c r="F91"/>
  <c r="E91"/>
  <c r="F90"/>
  <c r="E89"/>
  <c r="F89" s="1"/>
  <c r="F88"/>
  <c r="F87"/>
  <c r="F86"/>
  <c r="F85"/>
  <c r="E85"/>
  <c r="F84"/>
  <c r="E84"/>
  <c r="F83"/>
  <c r="E82"/>
  <c r="F82" s="1"/>
  <c r="E81"/>
  <c r="F81" s="1"/>
  <c r="F80"/>
  <c r="E79"/>
  <c r="D78"/>
  <c r="F78" s="1"/>
  <c r="E77"/>
  <c r="E74"/>
  <c r="E72"/>
  <c r="F70"/>
  <c r="F69"/>
  <c r="F68"/>
  <c r="E68"/>
  <c r="F67"/>
  <c r="F66"/>
  <c r="E65"/>
  <c r="D65"/>
  <c r="F65" s="1"/>
  <c r="E64"/>
  <c r="F64" s="1"/>
  <c r="D64"/>
  <c r="F63"/>
  <c r="F62"/>
  <c r="F61"/>
  <c r="D61"/>
  <c r="F60"/>
  <c r="E60"/>
  <c r="E59"/>
  <c r="F59" s="1"/>
  <c r="D59"/>
  <c r="F57"/>
  <c r="F56"/>
  <c r="E55"/>
  <c r="F55" s="1"/>
  <c r="D54"/>
  <c r="F54" s="1"/>
  <c r="E53"/>
  <c r="F53" s="1"/>
  <c r="D53"/>
  <c r="F52"/>
  <c r="D52"/>
  <c r="F51"/>
  <c r="E51"/>
  <c r="F50"/>
  <c r="E48"/>
  <c r="F47"/>
  <c r="F46"/>
  <c r="F44"/>
  <c r="E44"/>
  <c r="F43"/>
  <c r="E43"/>
  <c r="F42"/>
  <c r="E41"/>
  <c r="F41" s="1"/>
  <c r="E40"/>
  <c r="F40" s="1"/>
  <c r="F39"/>
  <c r="F38"/>
  <c r="F37"/>
  <c r="E35"/>
  <c r="D35"/>
  <c r="F35" s="1"/>
  <c r="E34"/>
  <c r="F34" s="1"/>
  <c r="D34"/>
  <c r="F32"/>
  <c r="F31"/>
  <c r="D30"/>
  <c r="F29"/>
  <c r="E28"/>
  <c r="D28"/>
  <c r="F28" s="1"/>
  <c r="F27"/>
  <c r="E26"/>
  <c r="D25"/>
  <c r="F25" s="1"/>
  <c r="E24"/>
  <c r="F23"/>
  <c r="E23"/>
  <c r="F22"/>
  <c r="E21"/>
  <c r="F21" s="1"/>
  <c r="E20"/>
  <c r="F20" s="1"/>
  <c r="D20"/>
  <c r="D26" l="1"/>
  <c r="F26" s="1"/>
  <c r="D79"/>
  <c r="F79" s="1"/>
  <c r="D121"/>
  <c r="F121" s="1"/>
  <c r="D24"/>
  <c r="D19" s="1"/>
  <c r="E33"/>
  <c r="D77"/>
  <c r="D76" s="1"/>
  <c r="D75" s="1"/>
  <c r="E93"/>
  <c r="F93" s="1"/>
  <c r="E30" l="1"/>
  <c r="F33"/>
  <c r="F77"/>
  <c r="E76"/>
  <c r="D107"/>
  <c r="D110" s="1"/>
  <c r="F24"/>
  <c r="F30" l="1"/>
  <c r="E19"/>
  <c r="D115"/>
  <c r="F110"/>
  <c r="F76"/>
  <c r="E75"/>
  <c r="F75" s="1"/>
  <c r="E107" l="1"/>
  <c r="F19"/>
  <c r="F107" l="1"/>
  <c r="E108"/>
  <c r="F108" s="1"/>
</calcChain>
</file>

<file path=xl/sharedStrings.xml><?xml version="1.0" encoding="utf-8"?>
<sst xmlns="http://schemas.openxmlformats.org/spreadsheetml/2006/main" count="376" uniqueCount="237">
  <si>
    <t xml:space="preserve">Приложение 1            </t>
  </si>
  <si>
    <t xml:space="preserve"> к Правилам утверждения       </t>
  </si>
  <si>
    <t xml:space="preserve"> предельного уровня тарифов    </t>
  </si>
  <si>
    <t xml:space="preserve"> (цен, ставок сборов)        </t>
  </si>
  <si>
    <t xml:space="preserve"> и тарифных смет на регулируемые </t>
  </si>
  <si>
    <t xml:space="preserve"> услуги (товары, работы)      </t>
  </si>
  <si>
    <t>субъектов естественных монополий </t>
  </si>
  <si>
    <t>Форма, предназначенная для сбора административных данных</t>
  </si>
  <si>
    <t>Сведения об исполнении тарифной сметы на регулируемые</t>
  </si>
  <si>
    <t>услуги передача и распределение тепловой энергии</t>
  </si>
  <si>
    <t xml:space="preserve">Отчетный период   2015 год </t>
  </si>
  <si>
    <r>
      <t>Индекс</t>
    </r>
    <r>
      <rPr>
        <sz val="10"/>
        <color rgb="FF000000"/>
        <rFont val="Times New Roman"/>
        <family val="1"/>
        <charset val="204"/>
      </rPr>
      <t xml:space="preserve"> ИТС</t>
    </r>
  </si>
  <si>
    <r>
      <t>Периодичность:</t>
    </r>
    <r>
      <rPr>
        <sz val="10"/>
        <color rgb="FF000000"/>
        <rFont val="Times New Roman"/>
        <family val="1"/>
        <charset val="204"/>
      </rPr>
      <t xml:space="preserve"> годовая </t>
    </r>
  </si>
  <si>
    <r>
      <t>Представляют:</t>
    </r>
    <r>
      <rPr>
        <sz val="10"/>
        <color rgb="FF000000"/>
        <rFont val="Times New Roman"/>
        <family val="1"/>
        <charset val="204"/>
      </rPr>
      <t xml:space="preserve"> субъекты естественной монополии, за исключением региональной электросетевой компании</t>
    </r>
  </si>
  <si>
    <r>
      <t>Куда представляется форма:</t>
    </r>
    <r>
      <rPr>
        <sz val="10"/>
        <color rgb="FF000000"/>
        <rFont val="Times New Roman"/>
        <family val="1"/>
        <charset val="204"/>
      </rPr>
      <t xml:space="preserve"> Департамент Комитета по регулированию естественных монополий и защите конкуренции Министерства национальной экономики Республики Казахстан</t>
    </r>
  </si>
  <si>
    <r>
      <t>Срок представления</t>
    </r>
    <r>
      <rPr>
        <sz val="10"/>
        <color rgb="FF000000"/>
        <rFont val="Times New Roman"/>
        <family val="1"/>
        <charset val="204"/>
      </rPr>
      <t xml:space="preserve"> – ежегодно не позднее 1 мая года, следующего за отчетным периодом, за исключением региональной электросетевой компании</t>
    </r>
  </si>
  <si>
    <t>№ п/п</t>
  </si>
  <si>
    <t xml:space="preserve"> Наименование показателей </t>
  </si>
  <si>
    <t xml:space="preserve">  Ед. изм.</t>
  </si>
  <si>
    <t xml:space="preserve"> Предусмотрено в утвержденной тарифной смете 3-й год реализации  </t>
  </si>
  <si>
    <t>Фактически сложившиеся показатели тарифной сметы</t>
  </si>
  <si>
    <t>Отклонение,  %</t>
  </si>
  <si>
    <t>Причины отклонения</t>
  </si>
  <si>
    <t>I</t>
  </si>
  <si>
    <t xml:space="preserve"> Затраты на производство товаров и предоставление услуг, всего, в т.ч.</t>
  </si>
  <si>
    <t>тыс. тенге</t>
  </si>
  <si>
    <t xml:space="preserve"> Материальные затраты, всего, в т.ч.</t>
  </si>
  <si>
    <t>1.1</t>
  </si>
  <si>
    <t xml:space="preserve"> Сырье и материалы</t>
  </si>
  <si>
    <t>- " -</t>
  </si>
  <si>
    <t>В пределах допустимых 5%</t>
  </si>
  <si>
    <t>1.2</t>
  </si>
  <si>
    <t xml:space="preserve"> ГСМ</t>
  </si>
  <si>
    <t>1.3</t>
  </si>
  <si>
    <t>Энергия</t>
  </si>
  <si>
    <t xml:space="preserve">При выполнении расчетов принимался режим работы насосоных станций в апреле и октябре месяце по 15 дней, по факту в эти месяца, из-за низкой температуры наружного воздуха, насосные станции работали полный месяц. </t>
  </si>
  <si>
    <t>Расходы на оплату труда, всего, в т.ч.</t>
  </si>
  <si>
    <t>2.1</t>
  </si>
  <si>
    <t>Заработная плата производственного персонала</t>
  </si>
  <si>
    <t>В тарифной смете затраты были приняты в соответствии с требованиями Особого порядка, что изначально было ниже фактически сложившихся затрат по оплате труда.</t>
  </si>
  <si>
    <t>2.2</t>
  </si>
  <si>
    <t>Социальный налог</t>
  </si>
  <si>
    <t>Социальный налог рассчитан  согласно налоговому законодательству РК.</t>
  </si>
  <si>
    <t>Амортизация</t>
  </si>
  <si>
    <t>Ремонт, всего, в т.ч.</t>
  </si>
  <si>
    <t>4.1</t>
  </si>
  <si>
    <t xml:space="preserve"> Капитальный ремонт, не приводящий к увеличению стоимости основных фондов</t>
  </si>
  <si>
    <t>5</t>
  </si>
  <si>
    <t xml:space="preserve">  Услуги производственного характера</t>
  </si>
  <si>
    <t>5.1</t>
  </si>
  <si>
    <t>Услуги автотранспорта и механизмов</t>
  </si>
  <si>
    <t>5.2</t>
  </si>
  <si>
    <t>Услуги водоснабжения и канализации</t>
  </si>
  <si>
    <t>5.3</t>
  </si>
  <si>
    <t>Поверка приборов учета, защитных средств, электрооборудования, допуск бригады</t>
  </si>
  <si>
    <t>вкл градуировка резервуаров 478</t>
  </si>
  <si>
    <t>поверка приборов учета</t>
  </si>
  <si>
    <t>поверка зашит средств и эл.оборуд., допуск бригады</t>
  </si>
  <si>
    <t>5.4</t>
  </si>
  <si>
    <t>Испытание тепловых сетей на тепловые потери</t>
  </si>
  <si>
    <t>Топогеодезические работы</t>
  </si>
  <si>
    <t>Отклонение отсутствует</t>
  </si>
  <si>
    <t>5.5</t>
  </si>
  <si>
    <t>Замена асфальтобетонного покрытия</t>
  </si>
  <si>
    <t>5.6</t>
  </si>
  <si>
    <t>Услуги связи</t>
  </si>
  <si>
    <t>вкл расходы по услугам спец связи почта 8,035</t>
  </si>
  <si>
    <t>5.7</t>
  </si>
  <si>
    <t>Обслуживание и ремонт основных средств</t>
  </si>
  <si>
    <t>вкл расходы по обслуж кондиционеров</t>
  </si>
  <si>
    <t>Обслуживание, ремонт оргтехники</t>
  </si>
  <si>
    <t>Обслуживание, ремонт кондиционеров</t>
  </si>
  <si>
    <t>Ремонт и обслуживание аппаратуры связи</t>
  </si>
  <si>
    <t>5.8</t>
  </si>
  <si>
    <t>Информационное обслуживание</t>
  </si>
  <si>
    <t>5.9</t>
  </si>
  <si>
    <t>Ультразвуковой контроль сварных соединений, теплоизоляционные работы</t>
  </si>
  <si>
    <t>Ультразвуковой контроль сварных соединений</t>
  </si>
  <si>
    <t>отклонение отсутствует</t>
  </si>
  <si>
    <t>теплоизоляционные работы</t>
  </si>
  <si>
    <t>5.10</t>
  </si>
  <si>
    <t>Расходы по экологии</t>
  </si>
  <si>
    <t>5.12</t>
  </si>
  <si>
    <t>Инспекционный аудит</t>
  </si>
  <si>
    <t>5.11</t>
  </si>
  <si>
    <t>Демеркуризация ртутьсодержащих отходов</t>
  </si>
  <si>
    <t>Ремонт теплотехнического, электрооборудования и кислородных балонов</t>
  </si>
  <si>
    <t>Превышение расходов сложилось в результате увеличения количества инструментов и оборудования, подлежащих ремонту</t>
  </si>
  <si>
    <t>вкл расходы по очистке донных отложений 1036</t>
  </si>
  <si>
    <t>теплотехнического</t>
  </si>
  <si>
    <t>электрооборудования</t>
  </si>
  <si>
    <t>кислородных балонов</t>
  </si>
  <si>
    <t>5.13</t>
  </si>
  <si>
    <t>Ремонт, обследование  автокранов</t>
  </si>
  <si>
    <t>5.14</t>
  </si>
  <si>
    <t>Захоронение твердо-бытовых, строительных и производственных отходов</t>
  </si>
  <si>
    <t>5.15</t>
  </si>
  <si>
    <t>Услуги по противопожарной безопасности</t>
  </si>
  <si>
    <t>5.16</t>
  </si>
  <si>
    <t>Гидрометеорологические услуги</t>
  </si>
  <si>
    <t>6</t>
  </si>
  <si>
    <t>Прочие затраты всего, в т.ч.:</t>
  </si>
  <si>
    <t>6.1</t>
  </si>
  <si>
    <t>Охрана труда (медосмотр, спецодежда,  СИЗ, спецпитание, дезинфенцирующие средства)</t>
  </si>
  <si>
    <t>спецпитание 29 тыс. отнесены расходы на АУП</t>
  </si>
  <si>
    <t>спец одежда и СИЗ</t>
  </si>
  <si>
    <t>в пределах допустимых 5%</t>
  </si>
  <si>
    <t>потребность хозмыла</t>
  </si>
  <si>
    <t>потребность порошка</t>
  </si>
  <si>
    <t>медосмотр</t>
  </si>
  <si>
    <t>спецпитание</t>
  </si>
  <si>
    <t>6.2</t>
  </si>
  <si>
    <t>Обязательное страхование</t>
  </si>
  <si>
    <t>6.3</t>
  </si>
  <si>
    <t>Подготовка кадров</t>
  </si>
  <si>
    <t>6.4</t>
  </si>
  <si>
    <t>Командировочные расходы</t>
  </si>
  <si>
    <t>Превышение затрат  сложилось, за счет увеличения количества посещаемых семинаров за пределами г.Астаны.</t>
  </si>
  <si>
    <t>6.5</t>
  </si>
  <si>
    <t xml:space="preserve">Канцелярские товары </t>
  </si>
  <si>
    <t>6.6</t>
  </si>
  <si>
    <t>Бланочная продукция</t>
  </si>
  <si>
    <t>6.7</t>
  </si>
  <si>
    <t xml:space="preserve">Аренда площади крыши для онлайн передачи данных </t>
  </si>
  <si>
    <t>Расходы не были учтены в тарифной смете</t>
  </si>
  <si>
    <t>6.8</t>
  </si>
  <si>
    <t>Радиомониторинг, обследование помещений</t>
  </si>
  <si>
    <t>6.9</t>
  </si>
  <si>
    <t>Перекачка ГСМ</t>
  </si>
  <si>
    <t>6.10</t>
  </si>
  <si>
    <t>Техническое обследование и инвентаризация</t>
  </si>
  <si>
    <t>Тех. обслед-е админ. здания по адресу ул.Туран 12;  тех.обслед-е объекта "Теп.сети в левобереж части 1 ввод 3 очередь, АБК, производ.корпус и гараж ЦТРП-1"</t>
  </si>
  <si>
    <t>II</t>
  </si>
  <si>
    <t>Расходы периода всего, в т.ч.</t>
  </si>
  <si>
    <t>7</t>
  </si>
  <si>
    <t>Общие и административные расходы, всего: в том числе:</t>
  </si>
  <si>
    <t>7.1</t>
  </si>
  <si>
    <t>Затраты на оплату труда</t>
  </si>
  <si>
    <t>7.1.1</t>
  </si>
  <si>
    <t>Заработная плата административного персонала</t>
  </si>
  <si>
    <t>7.1.2</t>
  </si>
  <si>
    <t>7.2</t>
  </si>
  <si>
    <t>Перерасход связан с вводом в эксплуатацю из незавершенного строительства здания ЦТРП-1 по адресу ул. Туран 12</t>
  </si>
  <si>
    <t>7.3</t>
  </si>
  <si>
    <r>
      <t>Н</t>
    </r>
    <r>
      <rPr>
        <sz val="12"/>
        <rFont val="Times New Roman"/>
        <family val="1"/>
        <charset val="204"/>
      </rPr>
      <t xml:space="preserve">алоговые платежи и сборы </t>
    </r>
  </si>
  <si>
    <t>7.4</t>
  </si>
  <si>
    <t>Материалы</t>
  </si>
  <si>
    <t>7.5</t>
  </si>
  <si>
    <t>ГСМ</t>
  </si>
  <si>
    <t>7.6</t>
  </si>
  <si>
    <t>Коммунальные услуги (энергия, водоснабжение, отвод сточных вод, вывоз мусора, дезинфекционные работы)</t>
  </si>
  <si>
    <t xml:space="preserve"> </t>
  </si>
  <si>
    <t>энергия</t>
  </si>
  <si>
    <t>водоснабжение, отвод сточных вод</t>
  </si>
  <si>
    <t>вывоз мусора</t>
  </si>
  <si>
    <t>дезинфекционные работы</t>
  </si>
  <si>
    <t>7.7</t>
  </si>
  <si>
    <t>7.8</t>
  </si>
  <si>
    <t>7.9</t>
  </si>
  <si>
    <t>Информационные, консультационные, аудиторские услуги</t>
  </si>
  <si>
    <t>7.10</t>
  </si>
  <si>
    <t>Услуги банка</t>
  </si>
  <si>
    <t>7.11</t>
  </si>
  <si>
    <t xml:space="preserve">Прочие расходы </t>
  </si>
  <si>
    <t>7.11.1</t>
  </si>
  <si>
    <t>Охрана объектов</t>
  </si>
  <si>
    <t>7.11.2</t>
  </si>
  <si>
    <t xml:space="preserve">Обслуживание, ремонт оргтехники </t>
  </si>
  <si>
    <t>Проведены расходы по обслуживанию программы "Электронный документооборот"</t>
  </si>
  <si>
    <t>7.11.3</t>
  </si>
  <si>
    <t xml:space="preserve">Проездные билеты                                    </t>
  </si>
  <si>
    <t>7.11.4</t>
  </si>
  <si>
    <t>Канцелярские товары</t>
  </si>
  <si>
    <t>7.11.5</t>
  </si>
  <si>
    <t>Периодическая печать</t>
  </si>
  <si>
    <t>Согласованный лимит, перерасход связан с увеличением стоимости печатных изданий</t>
  </si>
  <si>
    <t>7.11.6</t>
  </si>
  <si>
    <t>7.11.7</t>
  </si>
  <si>
    <t>Услуги типографии</t>
  </si>
  <si>
    <t>7.11.8</t>
  </si>
  <si>
    <t xml:space="preserve">Обязательное страхование </t>
  </si>
  <si>
    <t>7.11.9</t>
  </si>
  <si>
    <t>Хозяйственные товары</t>
  </si>
  <si>
    <t>7.11.10</t>
  </si>
  <si>
    <t>Содержание служебного автотранспорта</t>
  </si>
  <si>
    <t>7.11.11</t>
  </si>
  <si>
    <t>Услуги почты</t>
  </si>
  <si>
    <t>7.11.12</t>
  </si>
  <si>
    <t>Нотариальные услуги</t>
  </si>
  <si>
    <t>7.11.13</t>
  </si>
  <si>
    <t>Спецпитание</t>
  </si>
  <si>
    <t>III</t>
  </si>
  <si>
    <t>Всего затрат на предоставление услуг</t>
  </si>
  <si>
    <t>IV</t>
  </si>
  <si>
    <t>Доход (РБА*СП/(1-(КПН/ 100))</t>
  </si>
  <si>
    <t>V</t>
  </si>
  <si>
    <t>Регулируемая база задействованных активов (РБА)</t>
  </si>
  <si>
    <t>VI</t>
  </si>
  <si>
    <t>Всего доходов</t>
  </si>
  <si>
    <t>VII</t>
  </si>
  <si>
    <t xml:space="preserve">Объем оказываемых услуг  </t>
  </si>
  <si>
    <t>Гкал</t>
  </si>
  <si>
    <t>Увеличение объема оказываемых услуг произошло за счет подключения новых потребителей к централизованному теплоснабжению, ранним началом и поздним завершением отопительного сезона (отопительный сезон 2014-2015 закончился 22 апреля 2015г., а 2015-2016 - начался 1 октября 2015г.).</t>
  </si>
  <si>
    <t>VIII</t>
  </si>
  <si>
    <t>Нормативные технические потери</t>
  </si>
  <si>
    <t xml:space="preserve">% </t>
  </si>
  <si>
    <t xml:space="preserve">Снижение процента потерь связано с увеличением объема оказываемых услуг и выполнением инвестиционной программы </t>
  </si>
  <si>
    <t>IX</t>
  </si>
  <si>
    <t>Тариф</t>
  </si>
  <si>
    <t>тенге/ Гкал</t>
  </si>
  <si>
    <t>Справочно:</t>
  </si>
  <si>
    <t>8</t>
  </si>
  <si>
    <t>Среднесписочная численность персонала,</t>
  </si>
  <si>
    <t>человек</t>
  </si>
  <si>
    <t>Согласно Правилам № 213-ОД, в предельный уровень принимается  утвержденная нормативная численность.</t>
  </si>
  <si>
    <t>в том числе:</t>
  </si>
  <si>
    <t>8.1</t>
  </si>
  <si>
    <t>производственного</t>
  </si>
  <si>
    <t>8.2</t>
  </si>
  <si>
    <t>административного</t>
  </si>
  <si>
    <t>9</t>
  </si>
  <si>
    <t>Среднемесячная заработная плата, всего, в т.ч.</t>
  </si>
  <si>
    <t>тенге</t>
  </si>
  <si>
    <t>Увеличение затрат, сложилось за счет превышения фактических затрат на оплату труда над утвержденными. В тарифной смете затраты были приняты в соответствии с требованиями Особого порядка, что изначально было ниже фактических расходов на оплату труда.</t>
  </si>
  <si>
    <t>9.1</t>
  </si>
  <si>
    <t>производственного персонала</t>
  </si>
  <si>
    <t>9.2</t>
  </si>
  <si>
    <t>административного персонала</t>
  </si>
  <si>
    <t>Наименование организации: АО "Астана-Теплотранзит"</t>
  </si>
  <si>
    <t xml:space="preserve">Адрес: г. Астана. ул. И. Жансугурова 7, </t>
  </si>
  <si>
    <t>Телефон: 77-12-02</t>
  </si>
  <si>
    <t>Адрес электронной почты: info@a-tranzit.kz</t>
  </si>
  <si>
    <t>Фамилия и телефон исполнителя: Ш. Жумажанова, 77-12-68</t>
  </si>
  <si>
    <t>Председатель правления</t>
  </si>
  <si>
    <t>В. Курисько</t>
  </si>
  <si>
    <t>Дата «      » _________________ 20   года</t>
  </si>
  <si>
    <t>М.П.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</si>
</sst>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#,##0;[Red]\-#,##0"/>
    <numFmt numFmtId="165" formatCode="#,##0.0;[Red]\-#,##0.0"/>
    <numFmt numFmtId="166" formatCode="#,##0.00;[Red]\-#,##0.00"/>
    <numFmt numFmtId="167" formatCode="#,##0.000;[Red]\-#,##0.000"/>
    <numFmt numFmtId="168" formatCode="#,##0_р_."/>
    <numFmt numFmtId="169" formatCode="#,##0.0"/>
    <numFmt numFmtId="170" formatCode="#,##0.00[$руб.-419];[Red]&quot;-&quot;#,##0.00[$руб.-419]"/>
    <numFmt numFmtId="171" formatCode="_(* #,##0.00_);_(* \(#,##0.00\);_(* &quot;-&quot;??_);_(@_)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53">
    <xf numFmtId="0" fontId="0" fillId="0" borderId="0"/>
    <xf numFmtId="0" fontId="15" fillId="0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0" borderId="0"/>
    <xf numFmtId="0" fontId="18" fillId="0" borderId="0">
      <alignment horizontal="center"/>
    </xf>
    <xf numFmtId="0" fontId="18" fillId="0" borderId="0">
      <alignment horizontal="center" textRotation="90"/>
    </xf>
    <xf numFmtId="0" fontId="19" fillId="0" borderId="0"/>
    <xf numFmtId="170" fontId="19" fillId="0" borderId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0" fillId="10" borderId="2" applyNumberFormat="0" applyAlignment="0" applyProtection="0"/>
    <xf numFmtId="0" fontId="20" fillId="10" borderId="2" applyNumberFormat="0" applyAlignment="0" applyProtection="0"/>
    <xf numFmtId="0" fontId="20" fillId="10" borderId="2" applyNumberFormat="0" applyAlignment="0" applyProtection="0"/>
    <xf numFmtId="0" fontId="20" fillId="10" borderId="2" applyNumberFormat="0" applyAlignment="0" applyProtection="0"/>
    <xf numFmtId="0" fontId="20" fillId="10" borderId="2" applyNumberFormat="0" applyAlignment="0" applyProtection="0"/>
    <xf numFmtId="0" fontId="21" fillId="23" borderId="3" applyNumberFormat="0" applyAlignment="0" applyProtection="0"/>
    <xf numFmtId="0" fontId="21" fillId="23" borderId="3" applyNumberFormat="0" applyAlignment="0" applyProtection="0"/>
    <xf numFmtId="0" fontId="21" fillId="23" borderId="3" applyNumberFormat="0" applyAlignment="0" applyProtection="0"/>
    <xf numFmtId="0" fontId="21" fillId="23" borderId="3" applyNumberFormat="0" applyAlignment="0" applyProtection="0"/>
    <xf numFmtId="0" fontId="21" fillId="23" borderId="3" applyNumberFormat="0" applyAlignment="0" applyProtection="0"/>
    <xf numFmtId="0" fontId="22" fillId="23" borderId="2" applyNumberFormat="0" applyAlignment="0" applyProtection="0"/>
    <xf numFmtId="0" fontId="22" fillId="23" borderId="2" applyNumberFormat="0" applyAlignment="0" applyProtection="0"/>
    <xf numFmtId="0" fontId="22" fillId="23" borderId="2" applyNumberFormat="0" applyAlignment="0" applyProtection="0"/>
    <xf numFmtId="0" fontId="22" fillId="23" borderId="2" applyNumberFormat="0" applyAlignment="0" applyProtection="0"/>
    <xf numFmtId="0" fontId="22" fillId="23" borderId="2" applyNumberFormat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24" borderId="8" applyNumberFormat="0" applyAlignment="0" applyProtection="0"/>
    <xf numFmtId="0" fontId="27" fillId="24" borderId="8" applyNumberFormat="0" applyAlignment="0" applyProtection="0"/>
    <xf numFmtId="0" fontId="27" fillId="24" borderId="8" applyNumberFormat="0" applyAlignment="0" applyProtection="0"/>
    <xf numFmtId="0" fontId="27" fillId="24" borderId="8" applyNumberFormat="0" applyAlignment="0" applyProtection="0"/>
    <xf numFmtId="0" fontId="27" fillId="24" borderId="8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6" borderId="9" applyNumberFormat="0" applyAlignment="0" applyProtection="0"/>
    <xf numFmtId="0" fontId="15" fillId="26" borderId="9" applyNumberFormat="0" applyAlignment="0" applyProtection="0"/>
    <xf numFmtId="0" fontId="15" fillId="26" borderId="9" applyNumberFormat="0" applyAlignment="0" applyProtection="0"/>
    <xf numFmtId="0" fontId="15" fillId="26" borderId="9" applyNumberFormat="0" applyAlignment="0" applyProtection="0"/>
    <xf numFmtId="0" fontId="15" fillId="26" borderId="9" applyNumberFormat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166" fontId="2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justify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164" fontId="9" fillId="4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/>
    </xf>
    <xf numFmtId="168" fontId="10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169" fontId="8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3" fillId="0" borderId="1" xfId="0" applyNumberFormat="1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169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164" fontId="14" fillId="0" borderId="0" xfId="0" applyNumberFormat="1" applyFont="1"/>
    <xf numFmtId="0" fontId="3" fillId="0" borderId="0" xfId="0" applyFont="1"/>
    <xf numFmtId="0" fontId="14" fillId="0" borderId="0" xfId="0" applyFont="1" applyAlignment="1">
      <alignment horizontal="left"/>
    </xf>
  </cellXfs>
  <cellStyles count="253">
    <cellStyle name="0,0_x000d__x000a_NA_x000d__x000a_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2 2" xfId="7"/>
    <cellStyle name="20% - Акцент2 3" xfId="8"/>
    <cellStyle name="20% - Акцент2 4" xfId="9"/>
    <cellStyle name="20% - Акцент2 5" xfId="10"/>
    <cellStyle name="20% - Акцент2 6" xfId="11"/>
    <cellStyle name="20% - Акцент3 2" xfId="12"/>
    <cellStyle name="20% - Акцент3 3" xfId="13"/>
    <cellStyle name="20% - Акцент3 4" xfId="14"/>
    <cellStyle name="20% - Акцент3 5" xfId="15"/>
    <cellStyle name="20% - Акцент3 6" xfId="16"/>
    <cellStyle name="20% - Акцент4 2" xfId="17"/>
    <cellStyle name="20% - Акцент4 3" xfId="18"/>
    <cellStyle name="20% - Акцент4 4" xfId="19"/>
    <cellStyle name="20% - Акцент4 5" xfId="20"/>
    <cellStyle name="20% - Акцент4 6" xfId="21"/>
    <cellStyle name="20% - Акцент5 2" xfId="22"/>
    <cellStyle name="20% - Акцент5 3" xfId="23"/>
    <cellStyle name="20% - Акцент5 4" xfId="24"/>
    <cellStyle name="20% - Акцент5 5" xfId="25"/>
    <cellStyle name="20% - Акцент5 6" xfId="26"/>
    <cellStyle name="20% - Акцент6 2" xfId="27"/>
    <cellStyle name="20% - Акцент6 3" xfId="28"/>
    <cellStyle name="20% - Акцент6 4" xfId="29"/>
    <cellStyle name="20% - Акцент6 5" xfId="30"/>
    <cellStyle name="20% - Акцент6 6" xfId="31"/>
    <cellStyle name="40% - Акцент1 2" xfId="32"/>
    <cellStyle name="40% - Акцент1 3" xfId="33"/>
    <cellStyle name="40% - Акцент1 4" xfId="34"/>
    <cellStyle name="40% - Акцент1 5" xfId="35"/>
    <cellStyle name="40% - Акцент1 6" xfId="36"/>
    <cellStyle name="40% - Акцент2 2" xfId="37"/>
    <cellStyle name="40% - Акцент2 3" xfId="38"/>
    <cellStyle name="40% - Акцент2 4" xfId="39"/>
    <cellStyle name="40% - Акцент2 5" xfId="40"/>
    <cellStyle name="40% - Акцент2 6" xfId="41"/>
    <cellStyle name="40% - Акцент3 2" xfId="42"/>
    <cellStyle name="40% - Акцент3 3" xfId="43"/>
    <cellStyle name="40% - Акцент3 4" xfId="44"/>
    <cellStyle name="40% - Акцент3 5" xfId="45"/>
    <cellStyle name="40% - Акцент3 6" xfId="46"/>
    <cellStyle name="40% - Акцент4 2" xfId="47"/>
    <cellStyle name="40% - Акцент4 3" xfId="48"/>
    <cellStyle name="40% - Акцент4 4" xfId="49"/>
    <cellStyle name="40% - Акцент4 5" xfId="50"/>
    <cellStyle name="40% - Акцент4 6" xfId="51"/>
    <cellStyle name="40% - Акцент5 2" xfId="52"/>
    <cellStyle name="40% - Акцент5 3" xfId="53"/>
    <cellStyle name="40% - Акцент5 4" xfId="54"/>
    <cellStyle name="40% - Акцент5 5" xfId="55"/>
    <cellStyle name="40% - Акцент5 6" xfId="56"/>
    <cellStyle name="40% - Акцент6 2" xfId="57"/>
    <cellStyle name="40% - Акцент6 3" xfId="58"/>
    <cellStyle name="40% - Акцент6 4" xfId="59"/>
    <cellStyle name="40% - Акцент6 5" xfId="60"/>
    <cellStyle name="40% - Акцент6 6" xfId="61"/>
    <cellStyle name="60% - Акцент1 2" xfId="62"/>
    <cellStyle name="60% - Акцент1 3" xfId="63"/>
    <cellStyle name="60% - Акцент1 4" xfId="64"/>
    <cellStyle name="60% - Акцент1 5" xfId="65"/>
    <cellStyle name="60% - Акцент1 6" xfId="66"/>
    <cellStyle name="60% - Акцент2 2" xfId="67"/>
    <cellStyle name="60% - Акцент2 3" xfId="68"/>
    <cellStyle name="60% - Акцент2 4" xfId="69"/>
    <cellStyle name="60% - Акцент2 5" xfId="70"/>
    <cellStyle name="60% - Акцент2 6" xfId="71"/>
    <cellStyle name="60% - Акцент3 2" xfId="72"/>
    <cellStyle name="60% - Акцент3 3" xfId="73"/>
    <cellStyle name="60% - Акцент3 4" xfId="74"/>
    <cellStyle name="60% - Акцент3 5" xfId="75"/>
    <cellStyle name="60% - Акцент3 6" xfId="76"/>
    <cellStyle name="60% - Акцент4 2" xfId="77"/>
    <cellStyle name="60% - Акцент4 3" xfId="78"/>
    <cellStyle name="60% - Акцент4 4" xfId="79"/>
    <cellStyle name="60% - Акцент4 5" xfId="80"/>
    <cellStyle name="60% - Акцент4 6" xfId="81"/>
    <cellStyle name="60% - Акцент5 2" xfId="82"/>
    <cellStyle name="60% - Акцент5 3" xfId="83"/>
    <cellStyle name="60% - Акцент5 4" xfId="84"/>
    <cellStyle name="60% - Акцент5 5" xfId="85"/>
    <cellStyle name="60% - Акцент5 6" xfId="86"/>
    <cellStyle name="60% - Акцент6 2" xfId="87"/>
    <cellStyle name="60% - Акцент6 3" xfId="88"/>
    <cellStyle name="60% - Акцент6 4" xfId="89"/>
    <cellStyle name="60% - Акцент6 5" xfId="90"/>
    <cellStyle name="60% - Акцент6 6" xfId="91"/>
    <cellStyle name="Excel Built-in Normal 1" xfId="92"/>
    <cellStyle name="Heading" xfId="93"/>
    <cellStyle name="Heading1" xfId="94"/>
    <cellStyle name="Result" xfId="95"/>
    <cellStyle name="Result2" xfId="96"/>
    <cellStyle name="Акцент1 2" xfId="97"/>
    <cellStyle name="Акцент1 3" xfId="98"/>
    <cellStyle name="Акцент1 4" xfId="99"/>
    <cellStyle name="Акцент1 5" xfId="100"/>
    <cellStyle name="Акцент1 6" xfId="101"/>
    <cellStyle name="Акцент2 2" xfId="102"/>
    <cellStyle name="Акцент2 3" xfId="103"/>
    <cellStyle name="Акцент2 4" xfId="104"/>
    <cellStyle name="Акцент2 5" xfId="105"/>
    <cellStyle name="Акцент2 6" xfId="106"/>
    <cellStyle name="Акцент3 2" xfId="107"/>
    <cellStyle name="Акцент3 3" xfId="108"/>
    <cellStyle name="Акцент3 4" xfId="109"/>
    <cellStyle name="Акцент3 5" xfId="110"/>
    <cellStyle name="Акцент3 6" xfId="111"/>
    <cellStyle name="Акцент4 2" xfId="112"/>
    <cellStyle name="Акцент4 3" xfId="113"/>
    <cellStyle name="Акцент4 4" xfId="114"/>
    <cellStyle name="Акцент4 5" xfId="115"/>
    <cellStyle name="Акцент4 6" xfId="116"/>
    <cellStyle name="Акцент5 2" xfId="117"/>
    <cellStyle name="Акцент5 3" xfId="118"/>
    <cellStyle name="Акцент5 4" xfId="119"/>
    <cellStyle name="Акцент5 5" xfId="120"/>
    <cellStyle name="Акцент5 6" xfId="121"/>
    <cellStyle name="Акцент6 2" xfId="122"/>
    <cellStyle name="Акцент6 3" xfId="123"/>
    <cellStyle name="Акцент6 4" xfId="124"/>
    <cellStyle name="Акцент6 5" xfId="125"/>
    <cellStyle name="Акцент6 6" xfId="126"/>
    <cellStyle name="Ввод  2" xfId="127"/>
    <cellStyle name="Ввод  3" xfId="128"/>
    <cellStyle name="Ввод  4" xfId="129"/>
    <cellStyle name="Ввод  5" xfId="130"/>
    <cellStyle name="Ввод  6" xfId="131"/>
    <cellStyle name="Вывод 2" xfId="132"/>
    <cellStyle name="Вывод 3" xfId="133"/>
    <cellStyle name="Вывод 4" xfId="134"/>
    <cellStyle name="Вывод 5" xfId="135"/>
    <cellStyle name="Вывод 6" xfId="136"/>
    <cellStyle name="Вычисление 2" xfId="137"/>
    <cellStyle name="Вычисление 3" xfId="138"/>
    <cellStyle name="Вычисление 4" xfId="139"/>
    <cellStyle name="Вычисление 5" xfId="140"/>
    <cellStyle name="Вычисление 6" xfId="141"/>
    <cellStyle name="Заголовок 1 2" xfId="142"/>
    <cellStyle name="Заголовок 1 3" xfId="143"/>
    <cellStyle name="Заголовок 1 4" xfId="144"/>
    <cellStyle name="Заголовок 1 5" xfId="145"/>
    <cellStyle name="Заголовок 1 6" xfId="146"/>
    <cellStyle name="Заголовок 2 2" xfId="147"/>
    <cellStyle name="Заголовок 2 3" xfId="148"/>
    <cellStyle name="Заголовок 2 4" xfId="149"/>
    <cellStyle name="Заголовок 2 5" xfId="150"/>
    <cellStyle name="Заголовок 2 6" xfId="151"/>
    <cellStyle name="Заголовок 3 2" xfId="152"/>
    <cellStyle name="Заголовок 3 3" xfId="153"/>
    <cellStyle name="Заголовок 3 4" xfId="154"/>
    <cellStyle name="Заголовок 3 5" xfId="155"/>
    <cellStyle name="Заголовок 3 6" xfId="156"/>
    <cellStyle name="Заголовок 4 2" xfId="157"/>
    <cellStyle name="Заголовок 4 3" xfId="158"/>
    <cellStyle name="Заголовок 4 4" xfId="159"/>
    <cellStyle name="Заголовок 4 5" xfId="160"/>
    <cellStyle name="Заголовок 4 6" xfId="161"/>
    <cellStyle name="Итог 2" xfId="162"/>
    <cellStyle name="Итог 3" xfId="163"/>
    <cellStyle name="Итог 4" xfId="164"/>
    <cellStyle name="Итог 5" xfId="165"/>
    <cellStyle name="Итог 6" xfId="166"/>
    <cellStyle name="Контрольная ячейка 2" xfId="167"/>
    <cellStyle name="Контрольная ячейка 3" xfId="168"/>
    <cellStyle name="Контрольная ячейка 4" xfId="169"/>
    <cellStyle name="Контрольная ячейка 5" xfId="170"/>
    <cellStyle name="Контрольная ячейка 6" xfId="171"/>
    <cellStyle name="Название 2" xfId="172"/>
    <cellStyle name="Название 3" xfId="173"/>
    <cellStyle name="Название 4" xfId="174"/>
    <cellStyle name="Название 5" xfId="175"/>
    <cellStyle name="Название 6" xfId="176"/>
    <cellStyle name="Нейтральный 2" xfId="177"/>
    <cellStyle name="Нейтральный 3" xfId="178"/>
    <cellStyle name="Нейтральный 4" xfId="179"/>
    <cellStyle name="Нейтральный 5" xfId="180"/>
    <cellStyle name="Нейтральный 6" xfId="181"/>
    <cellStyle name="Обычный" xfId="0" builtinId="0"/>
    <cellStyle name="Обычный 10" xfId="182"/>
    <cellStyle name="Обычный 11" xfId="183"/>
    <cellStyle name="Обычный 12" xfId="184"/>
    <cellStyle name="Обычный 13" xfId="185"/>
    <cellStyle name="Обычный 14" xfId="186"/>
    <cellStyle name="Обычный 15" xfId="187"/>
    <cellStyle name="Обычный 16" xfId="188"/>
    <cellStyle name="Обычный 17" xfId="189"/>
    <cellStyle name="Обычный 18" xfId="190"/>
    <cellStyle name="Обычный 19" xfId="191"/>
    <cellStyle name="Обычный 2" xfId="192"/>
    <cellStyle name="Обычный 2 2" xfId="193"/>
    <cellStyle name="Обычный 2 3" xfId="194"/>
    <cellStyle name="Обычный 2 4" xfId="195"/>
    <cellStyle name="Обычный 2 5" xfId="196"/>
    <cellStyle name="Обычный 2 6" xfId="197"/>
    <cellStyle name="Обычный 2 7" xfId="198"/>
    <cellStyle name="Обычный 2 8" xfId="199"/>
    <cellStyle name="Обычный 20" xfId="200"/>
    <cellStyle name="Обычный 21" xfId="201"/>
    <cellStyle name="Обычный 22" xfId="202"/>
    <cellStyle name="Обычный 23" xfId="203"/>
    <cellStyle name="Обычный 24" xfId="204"/>
    <cellStyle name="Обычный 25" xfId="205"/>
    <cellStyle name="Обычный 26" xfId="206"/>
    <cellStyle name="Обычный 27" xfId="207"/>
    <cellStyle name="Обычный 28" xfId="208"/>
    <cellStyle name="Обычный 29" xfId="209"/>
    <cellStyle name="Обычный 3" xfId="210"/>
    <cellStyle name="Обычный 3 2" xfId="211"/>
    <cellStyle name="Обычный 4" xfId="212"/>
    <cellStyle name="Обычный 4 2" xfId="213"/>
    <cellStyle name="Обычный 5" xfId="214"/>
    <cellStyle name="Обычный 5 2" xfId="215"/>
    <cellStyle name="Обычный 6" xfId="216"/>
    <cellStyle name="Обычный 6 2" xfId="217"/>
    <cellStyle name="Обычный 7" xfId="218"/>
    <cellStyle name="Обычный 8" xfId="219"/>
    <cellStyle name="Обычный 9" xfId="220"/>
    <cellStyle name="Плохой 2" xfId="221"/>
    <cellStyle name="Плохой 3" xfId="222"/>
    <cellStyle name="Плохой 4" xfId="223"/>
    <cellStyle name="Плохой 5" xfId="224"/>
    <cellStyle name="Плохой 6" xfId="225"/>
    <cellStyle name="Пояснение 2" xfId="226"/>
    <cellStyle name="Пояснение 3" xfId="227"/>
    <cellStyle name="Пояснение 4" xfId="228"/>
    <cellStyle name="Пояснение 5" xfId="229"/>
    <cellStyle name="Пояснение 6" xfId="230"/>
    <cellStyle name="Примечание 2" xfId="231"/>
    <cellStyle name="Примечание 3" xfId="232"/>
    <cellStyle name="Примечание 4" xfId="233"/>
    <cellStyle name="Примечание 5" xfId="234"/>
    <cellStyle name="Примечание 6" xfId="235"/>
    <cellStyle name="Связанная ячейка 2" xfId="236"/>
    <cellStyle name="Связанная ячейка 3" xfId="237"/>
    <cellStyle name="Связанная ячейка 4" xfId="238"/>
    <cellStyle name="Связанная ячейка 5" xfId="239"/>
    <cellStyle name="Связанная ячейка 6" xfId="240"/>
    <cellStyle name="Текст предупреждения 2" xfId="241"/>
    <cellStyle name="Текст предупреждения 3" xfId="242"/>
    <cellStyle name="Текст предупреждения 4" xfId="243"/>
    <cellStyle name="Текст предупреждения 5" xfId="244"/>
    <cellStyle name="Текст предупреждения 6" xfId="245"/>
    <cellStyle name="Финансовый 2" xfId="246"/>
    <cellStyle name="Финансовый 3" xfId="247"/>
    <cellStyle name="Хороший 2" xfId="248"/>
    <cellStyle name="Хороший 3" xfId="249"/>
    <cellStyle name="Хороший 4" xfId="250"/>
    <cellStyle name="Хороший 5" xfId="251"/>
    <cellStyle name="Хороший 6" xfId="2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Documents%20and%20Settings\user\&#1056;&#1072;&#1073;&#1086;&#1095;&#1080;&#1081;%20&#1089;&#1090;&#1086;&#1083;\&#1082;&#1086;&#1088;&#1088;&#1077;&#1082;&#1090;&#1080;&#1088;&#1086;&#1074;&#1082;&#1072;%20&#1090;&#1072;&#1088;&#1080;&#1092;&#1089;&#1084;&#1077;&#1090;&#1099;%203%20&#1075;&#1086;&#1076;%20&#1088;&#1077;&#1072;&#1083;\&#1058;&#1072;&#1088;&#1080;&#1092;&#1085;&#1072;&#1103;%20&#1089;&#1084;&#1077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работы по 12 мес. (2)"/>
      <sheetName val="зарплата 189тыстг"/>
      <sheetName val="зарплата 144тыстг (2)"/>
      <sheetName val="тарифная смета (3)"/>
      <sheetName val="тарифная смета (2)"/>
      <sheetName val="тарифная смета"/>
      <sheetName val="ОБъемы"/>
      <sheetName val="зарплата 144тыстг  1 квартал"/>
      <sheetName val="ГСМ"/>
      <sheetName val="расчет зпл"/>
      <sheetName val="автотранспорт"/>
      <sheetName val="водоснаб"/>
      <sheetName val="поверка"/>
      <sheetName val="топогеод.работы"/>
      <sheetName val="замена асфальт"/>
      <sheetName val="услуги связи"/>
      <sheetName val="обслужремонт оснсред"/>
      <sheetName val="информац услуги"/>
      <sheetName val="ультрзвук  контроль соед"/>
      <sheetName val="экология"/>
      <sheetName val="инспек аудит"/>
      <sheetName val="демерк.ртуть "/>
      <sheetName val="ремонт тепло-электрообруд"/>
      <sheetName val="техобсл транс"/>
      <sheetName val="вывоз произв.отходов"/>
      <sheetName val="метеоуслуги"/>
      <sheetName val="свод безопас и охрана труда"/>
      <sheetName val="страхПП"/>
      <sheetName val="команд"/>
      <sheetName val="Блан.продукция"/>
      <sheetName val="налоги"/>
      <sheetName val="обяз страх-е"/>
      <sheetName val="проезд"/>
      <sheetName val="содержание служб авто"/>
      <sheetName val="почта"/>
      <sheetName val="нотариальн"/>
      <sheetName val="нормативные потер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E4">
            <v>1357.6</v>
          </cell>
        </row>
        <row r="5">
          <cell r="E5">
            <v>1651.4559999999999</v>
          </cell>
        </row>
        <row r="6">
          <cell r="E6">
            <v>360</v>
          </cell>
        </row>
        <row r="7">
          <cell r="E7">
            <v>122.4</v>
          </cell>
        </row>
        <row r="8">
          <cell r="E8">
            <v>478</v>
          </cell>
        </row>
        <row r="9">
          <cell r="E9">
            <v>23</v>
          </cell>
        </row>
        <row r="10">
          <cell r="E10">
            <v>69.5</v>
          </cell>
        </row>
        <row r="11">
          <cell r="E11">
            <v>757.59999999999991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E12">
            <v>2319.5170000000003</v>
          </cell>
        </row>
        <row r="14">
          <cell r="E14">
            <v>150</v>
          </cell>
        </row>
        <row r="15">
          <cell r="E15">
            <v>1036</v>
          </cell>
        </row>
      </sheetData>
      <sheetData sheetId="23"/>
      <sheetData sheetId="24"/>
      <sheetData sheetId="25"/>
      <sheetData sheetId="26">
        <row r="5">
          <cell r="E5">
            <v>8093</v>
          </cell>
        </row>
        <row r="6">
          <cell r="E6">
            <v>1011</v>
          </cell>
        </row>
        <row r="7">
          <cell r="E7">
            <v>1045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F6">
            <v>748828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4"/>
  <sheetViews>
    <sheetView tabSelected="1" zoomScale="90" zoomScaleNormal="90" workbookViewId="0">
      <selection activeCell="K19" sqref="K19"/>
    </sheetView>
  </sheetViews>
  <sheetFormatPr defaultColWidth="9.140625" defaultRowHeight="15.75"/>
  <cols>
    <col min="1" max="1" width="7.7109375" style="1" customWidth="1"/>
    <col min="2" max="2" width="41.140625" style="2" customWidth="1"/>
    <col min="3" max="3" width="10" style="2" customWidth="1"/>
    <col min="4" max="4" width="16.85546875" style="2" customWidth="1"/>
    <col min="5" max="5" width="16.42578125" style="2" customWidth="1"/>
    <col min="6" max="6" width="14.28515625" style="2" customWidth="1"/>
    <col min="7" max="7" width="42.28515625" style="2" customWidth="1"/>
    <col min="8" max="8" width="0" style="2" hidden="1" customWidth="1"/>
    <col min="9" max="16384" width="9.140625" style="2"/>
  </cols>
  <sheetData>
    <row r="1" spans="1:7">
      <c r="G1" s="3" t="s">
        <v>0</v>
      </c>
    </row>
    <row r="2" spans="1:7">
      <c r="G2" s="3" t="s">
        <v>1</v>
      </c>
    </row>
    <row r="3" spans="1:7">
      <c r="G3" s="3" t="s">
        <v>2</v>
      </c>
    </row>
    <row r="4" spans="1:7">
      <c r="G4" s="3" t="s">
        <v>3</v>
      </c>
    </row>
    <row r="5" spans="1:7">
      <c r="G5" s="3" t="s">
        <v>4</v>
      </c>
    </row>
    <row r="6" spans="1:7">
      <c r="G6" s="3" t="s">
        <v>5</v>
      </c>
    </row>
    <row r="7" spans="1:7">
      <c r="G7" s="3" t="s">
        <v>6</v>
      </c>
    </row>
    <row r="8" spans="1:7">
      <c r="A8" s="4" t="s">
        <v>7</v>
      </c>
      <c r="B8" s="4"/>
      <c r="C8" s="4"/>
      <c r="D8" s="4"/>
      <c r="E8" s="4"/>
      <c r="F8" s="4"/>
      <c r="G8" s="4"/>
    </row>
    <row r="9" spans="1:7">
      <c r="A9" s="4" t="s">
        <v>8</v>
      </c>
      <c r="B9" s="4"/>
      <c r="C9" s="4"/>
      <c r="D9" s="4"/>
      <c r="E9" s="4"/>
      <c r="F9" s="4"/>
      <c r="G9" s="4"/>
    </row>
    <row r="10" spans="1:7">
      <c r="A10" s="4" t="s">
        <v>9</v>
      </c>
      <c r="B10" s="4"/>
      <c r="C10" s="4"/>
      <c r="D10" s="4"/>
      <c r="E10" s="4"/>
      <c r="F10" s="4"/>
      <c r="G10" s="4"/>
    </row>
    <row r="11" spans="1:7">
      <c r="A11" s="5" t="s">
        <v>10</v>
      </c>
      <c r="B11" s="5"/>
      <c r="C11" s="5"/>
      <c r="D11" s="5"/>
      <c r="E11" s="5"/>
      <c r="F11" s="5"/>
      <c r="G11" s="5"/>
    </row>
    <row r="12" spans="1:7">
      <c r="A12" s="6" t="s">
        <v>11</v>
      </c>
    </row>
    <row r="13" spans="1:7">
      <c r="A13" s="6" t="s">
        <v>12</v>
      </c>
    </row>
    <row r="14" spans="1:7">
      <c r="A14" s="6" t="s">
        <v>13</v>
      </c>
      <c r="D14" s="7"/>
    </row>
    <row r="15" spans="1:7" ht="30.75" customHeight="1">
      <c r="A15" s="8" t="s">
        <v>14</v>
      </c>
      <c r="B15" s="8"/>
      <c r="C15" s="8"/>
      <c r="D15" s="8"/>
      <c r="E15" s="8"/>
      <c r="F15" s="8"/>
      <c r="G15" s="8"/>
    </row>
    <row r="16" spans="1:7" ht="15.75" customHeight="1">
      <c r="A16" s="6" t="s">
        <v>15</v>
      </c>
      <c r="B16" s="9"/>
      <c r="C16" s="9"/>
      <c r="D16" s="9"/>
      <c r="E16" s="10"/>
      <c r="F16" s="9"/>
      <c r="G16" s="11"/>
    </row>
    <row r="17" spans="1:8">
      <c r="A17" s="12"/>
      <c r="B17" s="12"/>
      <c r="C17" s="12"/>
    </row>
    <row r="18" spans="1:8" ht="84.75" customHeight="1">
      <c r="A18" s="13" t="s">
        <v>16</v>
      </c>
      <c r="B18" s="13" t="s">
        <v>17</v>
      </c>
      <c r="C18" s="13" t="s">
        <v>18</v>
      </c>
      <c r="D18" s="14" t="s">
        <v>19</v>
      </c>
      <c r="E18" s="14" t="s">
        <v>20</v>
      </c>
      <c r="F18" s="14" t="s">
        <v>21</v>
      </c>
      <c r="G18" s="15" t="s">
        <v>22</v>
      </c>
    </row>
    <row r="19" spans="1:8" s="20" customFormat="1" ht="31.5">
      <c r="A19" s="16" t="s">
        <v>23</v>
      </c>
      <c r="B19" s="17" t="s">
        <v>24</v>
      </c>
      <c r="C19" s="16" t="s">
        <v>25</v>
      </c>
      <c r="D19" s="18">
        <f>D20+D24+D27+D28+D30+D59</f>
        <v>2716308.364304</v>
      </c>
      <c r="E19" s="18">
        <f>E20+E24+E27+E28+E30+E59</f>
        <v>3080879.6260000002</v>
      </c>
      <c r="F19" s="19">
        <f t="shared" ref="F19:F57" si="0">E19/D19*100-100</f>
        <v>13.421571220961653</v>
      </c>
      <c r="G19" s="18"/>
    </row>
    <row r="20" spans="1:8" s="20" customFormat="1">
      <c r="A20" s="16">
        <v>1</v>
      </c>
      <c r="B20" s="17" t="s">
        <v>26</v>
      </c>
      <c r="C20" s="21"/>
      <c r="D20" s="18">
        <f>D21+D22+D23</f>
        <v>632494</v>
      </c>
      <c r="E20" s="18">
        <f>E21+E22+E23</f>
        <v>665548.95200000005</v>
      </c>
      <c r="F20" s="19">
        <f t="shared" si="0"/>
        <v>5.2261289435156897</v>
      </c>
      <c r="G20" s="18"/>
    </row>
    <row r="21" spans="1:8">
      <c r="A21" s="22" t="s">
        <v>27</v>
      </c>
      <c r="B21" s="23" t="s">
        <v>28</v>
      </c>
      <c r="C21" s="13" t="s">
        <v>29</v>
      </c>
      <c r="D21" s="24">
        <v>237305</v>
      </c>
      <c r="E21" s="25">
        <f>231166.3+249.55+814.571+596.923</f>
        <v>232827.34399999998</v>
      </c>
      <c r="F21" s="26">
        <f t="shared" si="0"/>
        <v>-1.8868780683087323</v>
      </c>
      <c r="G21" s="27" t="s">
        <v>30</v>
      </c>
    </row>
    <row r="22" spans="1:8">
      <c r="A22" s="22" t="s">
        <v>31</v>
      </c>
      <c r="B22" s="28" t="s">
        <v>32</v>
      </c>
      <c r="C22" s="13" t="s">
        <v>29</v>
      </c>
      <c r="D22" s="24">
        <v>63538</v>
      </c>
      <c r="E22" s="25">
        <v>63547.6</v>
      </c>
      <c r="F22" s="29">
        <f t="shared" si="0"/>
        <v>1.5109068588884611E-2</v>
      </c>
      <c r="G22" s="27" t="s">
        <v>30</v>
      </c>
    </row>
    <row r="23" spans="1:8" ht="63.75">
      <c r="A23" s="22" t="s">
        <v>33</v>
      </c>
      <c r="B23" s="23" t="s">
        <v>34</v>
      </c>
      <c r="C23" s="13" t="s">
        <v>29</v>
      </c>
      <c r="D23" s="24">
        <v>331651</v>
      </c>
      <c r="E23" s="25">
        <f>369757.791-583.783</f>
        <v>369174.00800000003</v>
      </c>
      <c r="F23" s="26">
        <f t="shared" si="0"/>
        <v>11.314004179091896</v>
      </c>
      <c r="G23" s="30" t="s">
        <v>35</v>
      </c>
    </row>
    <row r="24" spans="1:8" s="20" customFormat="1">
      <c r="A24" s="31">
        <v>2</v>
      </c>
      <c r="B24" s="32" t="s">
        <v>36</v>
      </c>
      <c r="C24" s="16" t="s">
        <v>29</v>
      </c>
      <c r="D24" s="18">
        <f>D25+D26</f>
        <v>718813.36430399993</v>
      </c>
      <c r="E24" s="33">
        <f>E25+E26</f>
        <v>1049147.162</v>
      </c>
      <c r="F24" s="19">
        <f t="shared" si="0"/>
        <v>45.955433510317363</v>
      </c>
      <c r="G24" s="18"/>
    </row>
    <row r="25" spans="1:8" ht="51">
      <c r="A25" s="22" t="s">
        <v>37</v>
      </c>
      <c r="B25" s="23" t="s">
        <v>38</v>
      </c>
      <c r="C25" s="13" t="s">
        <v>29</v>
      </c>
      <c r="D25" s="34">
        <f>D119*D122*12/1000</f>
        <v>654061.29599999997</v>
      </c>
      <c r="E25" s="34">
        <v>954638</v>
      </c>
      <c r="F25" s="35">
        <f t="shared" si="0"/>
        <v>45.955433510317363</v>
      </c>
      <c r="G25" s="36" t="s">
        <v>39</v>
      </c>
    </row>
    <row r="26" spans="1:8" ht="25.5">
      <c r="A26" s="22" t="s">
        <v>40</v>
      </c>
      <c r="B26" s="28" t="s">
        <v>41</v>
      </c>
      <c r="C26" s="13" t="s">
        <v>29</v>
      </c>
      <c r="D26" s="34">
        <f>(D25-D25*0.1)*0.11</f>
        <v>64752.068304</v>
      </c>
      <c r="E26" s="37">
        <f>(E25-E25*0.1)*0.11</f>
        <v>94509.161999999997</v>
      </c>
      <c r="F26" s="35">
        <f t="shared" si="0"/>
        <v>45.955433510317334</v>
      </c>
      <c r="G26" s="27" t="s">
        <v>42</v>
      </c>
    </row>
    <row r="27" spans="1:8" s="20" customFormat="1">
      <c r="A27" s="31">
        <v>3</v>
      </c>
      <c r="B27" s="17" t="s">
        <v>43</v>
      </c>
      <c r="C27" s="16" t="s">
        <v>29</v>
      </c>
      <c r="D27" s="38">
        <v>1067297</v>
      </c>
      <c r="E27" s="38">
        <v>1067353.3999999999</v>
      </c>
      <c r="F27" s="39">
        <f t="shared" si="0"/>
        <v>5.2843772633082153E-3</v>
      </c>
      <c r="G27" s="27" t="s">
        <v>30</v>
      </c>
      <c r="H27" s="40"/>
    </row>
    <row r="28" spans="1:8" s="20" customFormat="1">
      <c r="A28" s="31">
        <v>4</v>
      </c>
      <c r="B28" s="17" t="s">
        <v>44</v>
      </c>
      <c r="C28" s="16" t="s">
        <v>29</v>
      </c>
      <c r="D28" s="18">
        <f>D29</f>
        <v>188449</v>
      </c>
      <c r="E28" s="41">
        <f>E29</f>
        <v>187683.826</v>
      </c>
      <c r="F28" s="19">
        <f t="shared" si="0"/>
        <v>-0.40603770781484627</v>
      </c>
      <c r="G28" s="27" t="s">
        <v>30</v>
      </c>
    </row>
    <row r="29" spans="1:8" ht="47.25">
      <c r="A29" s="22" t="s">
        <v>45</v>
      </c>
      <c r="B29" s="28" t="s">
        <v>46</v>
      </c>
      <c r="C29" s="13" t="s">
        <v>29</v>
      </c>
      <c r="D29" s="34">
        <v>188449</v>
      </c>
      <c r="E29" s="34">
        <v>187683.826</v>
      </c>
      <c r="F29" s="35">
        <f t="shared" si="0"/>
        <v>-0.40603770781484627</v>
      </c>
      <c r="G29" s="27" t="s">
        <v>30</v>
      </c>
    </row>
    <row r="30" spans="1:8" ht="17.25" customHeight="1">
      <c r="A30" s="31" t="s">
        <v>47</v>
      </c>
      <c r="B30" s="17" t="s">
        <v>48</v>
      </c>
      <c r="C30" s="13" t="s">
        <v>29</v>
      </c>
      <c r="D30" s="42">
        <f>D31+D32+D33+D36+D37+D38+D39+D40+D44+D45+D48+D49+D50+D51+D55+D56+D57+D58</f>
        <v>80277</v>
      </c>
      <c r="E30" s="42">
        <f>E31+E32+E33+E36+E37+E38+E39+E40+E44+E45+E48+E49+E50+E51+E55+E56+E57+E58</f>
        <v>80657.359000000011</v>
      </c>
      <c r="F30" s="19">
        <f t="shared" si="0"/>
        <v>0.47380818914510314</v>
      </c>
      <c r="G30" s="18"/>
    </row>
    <row r="31" spans="1:8">
      <c r="A31" s="22" t="s">
        <v>49</v>
      </c>
      <c r="B31" s="43" t="s">
        <v>50</v>
      </c>
      <c r="C31" s="13" t="s">
        <v>29</v>
      </c>
      <c r="D31" s="44">
        <v>17717</v>
      </c>
      <c r="E31" s="25">
        <v>17774.221000000001</v>
      </c>
      <c r="F31" s="35">
        <f t="shared" si="0"/>
        <v>0.32297228650448062</v>
      </c>
      <c r="G31" s="27" t="s">
        <v>30</v>
      </c>
    </row>
    <row r="32" spans="1:8">
      <c r="A32" s="22" t="s">
        <v>51</v>
      </c>
      <c r="B32" s="43" t="s">
        <v>52</v>
      </c>
      <c r="C32" s="13" t="s">
        <v>29</v>
      </c>
      <c r="D32" s="25">
        <v>16566</v>
      </c>
      <c r="E32" s="25">
        <v>16523.599999999999</v>
      </c>
      <c r="F32" s="35">
        <f t="shared" si="0"/>
        <v>-0.25594591331643812</v>
      </c>
      <c r="G32" s="27" t="s">
        <v>30</v>
      </c>
    </row>
    <row r="33" spans="1:8" ht="47.25">
      <c r="A33" s="22" t="s">
        <v>53</v>
      </c>
      <c r="B33" s="43" t="s">
        <v>54</v>
      </c>
      <c r="C33" s="13" t="s">
        <v>29</v>
      </c>
      <c r="D33" s="25">
        <v>4820</v>
      </c>
      <c r="E33" s="25">
        <f>E34+E35</f>
        <v>4833.7560000000003</v>
      </c>
      <c r="F33" s="35">
        <f t="shared" si="0"/>
        <v>0.28539419087137219</v>
      </c>
      <c r="G33" s="27" t="s">
        <v>30</v>
      </c>
      <c r="H33" s="2" t="s">
        <v>55</v>
      </c>
    </row>
    <row r="34" spans="1:8" hidden="1">
      <c r="A34" s="22"/>
      <c r="B34" s="45" t="s">
        <v>56</v>
      </c>
      <c r="C34" s="13"/>
      <c r="D34" s="25">
        <f>[1]поверка!E4+[1]поверка!E5+[1]поверка!E6+[1]поверка!E7+[1]поверка!E8+[1]поверка!E9</f>
        <v>3992.4559999999997</v>
      </c>
      <c r="E34" s="25">
        <f>3131.922+23.2+478+360+87.097</f>
        <v>4080.2190000000001</v>
      </c>
      <c r="F34" s="35">
        <f t="shared" si="0"/>
        <v>2.1982208445127611</v>
      </c>
      <c r="G34" s="34"/>
    </row>
    <row r="35" spans="1:8" ht="31.5" hidden="1">
      <c r="A35" s="22"/>
      <c r="B35" s="45" t="s">
        <v>57</v>
      </c>
      <c r="C35" s="13"/>
      <c r="D35" s="25">
        <f>[1]поверка!E10+[1]поверка!E11</f>
        <v>827.09999999999991</v>
      </c>
      <c r="E35" s="25">
        <f>684.037+69.5</f>
        <v>753.53700000000003</v>
      </c>
      <c r="F35" s="35">
        <f t="shared" si="0"/>
        <v>-8.8940877765687105</v>
      </c>
      <c r="G35" s="34"/>
    </row>
    <row r="36" spans="1:8" ht="15.75" hidden="1" customHeight="1">
      <c r="A36" s="22" t="s">
        <v>58</v>
      </c>
      <c r="B36" s="43" t="s">
        <v>59</v>
      </c>
      <c r="C36" s="13" t="s">
        <v>29</v>
      </c>
      <c r="D36" s="25">
        <v>0</v>
      </c>
      <c r="E36" s="25">
        <v>0</v>
      </c>
      <c r="F36" s="35"/>
      <c r="G36" s="34"/>
    </row>
    <row r="37" spans="1:8">
      <c r="A37" s="22" t="s">
        <v>58</v>
      </c>
      <c r="B37" s="43" t="s">
        <v>60</v>
      </c>
      <c r="C37" s="13" t="s">
        <v>29</v>
      </c>
      <c r="D37" s="46">
        <v>1508</v>
      </c>
      <c r="E37" s="25">
        <v>1508</v>
      </c>
      <c r="F37" s="35">
        <f t="shared" si="0"/>
        <v>0</v>
      </c>
      <c r="G37" s="27" t="s">
        <v>61</v>
      </c>
    </row>
    <row r="38" spans="1:8">
      <c r="A38" s="22" t="s">
        <v>62</v>
      </c>
      <c r="B38" s="43" t="s">
        <v>63</v>
      </c>
      <c r="C38" s="13" t="s">
        <v>29</v>
      </c>
      <c r="D38" s="25">
        <v>18466</v>
      </c>
      <c r="E38" s="25">
        <v>18466.5</v>
      </c>
      <c r="F38" s="47">
        <f t="shared" si="0"/>
        <v>2.7076789775861698E-3</v>
      </c>
      <c r="G38" s="27" t="s">
        <v>30</v>
      </c>
    </row>
    <row r="39" spans="1:8">
      <c r="A39" s="22" t="s">
        <v>64</v>
      </c>
      <c r="B39" s="43" t="s">
        <v>65</v>
      </c>
      <c r="C39" s="13" t="s">
        <v>29</v>
      </c>
      <c r="D39" s="46">
        <v>4269</v>
      </c>
      <c r="E39" s="25">
        <v>4269</v>
      </c>
      <c r="F39" s="35">
        <f t="shared" si="0"/>
        <v>0</v>
      </c>
      <c r="G39" s="27" t="s">
        <v>61</v>
      </c>
      <c r="H39" s="2" t="s">
        <v>66</v>
      </c>
    </row>
    <row r="40" spans="1:8" ht="18" customHeight="1">
      <c r="A40" s="22" t="s">
        <v>67</v>
      </c>
      <c r="B40" s="43" t="s">
        <v>68</v>
      </c>
      <c r="C40" s="13" t="s">
        <v>29</v>
      </c>
      <c r="D40" s="46">
        <v>4778</v>
      </c>
      <c r="E40" s="25">
        <f>E41+E42+E43</f>
        <v>4850.0460000000003</v>
      </c>
      <c r="F40" s="35">
        <f t="shared" si="0"/>
        <v>1.507869401423207</v>
      </c>
      <c r="G40" s="27" t="s">
        <v>30</v>
      </c>
      <c r="H40" s="2" t="s">
        <v>69</v>
      </c>
    </row>
    <row r="41" spans="1:8" hidden="1">
      <c r="A41" s="48"/>
      <c r="B41" s="45" t="s">
        <v>70</v>
      </c>
      <c r="C41" s="13" t="s">
        <v>29</v>
      </c>
      <c r="D41" s="15"/>
      <c r="E41" s="25">
        <f>2758.346+55</f>
        <v>2813.346</v>
      </c>
      <c r="F41" s="35" t="e">
        <f t="shared" si="0"/>
        <v>#DIV/0!</v>
      </c>
      <c r="G41" s="34"/>
    </row>
    <row r="42" spans="1:8" hidden="1">
      <c r="A42" s="22"/>
      <c r="B42" s="45" t="s">
        <v>71</v>
      </c>
      <c r="C42" s="13" t="s">
        <v>29</v>
      </c>
      <c r="D42" s="15"/>
      <c r="E42" s="25">
        <v>488.2</v>
      </c>
      <c r="F42" s="35" t="e">
        <f t="shared" si="0"/>
        <v>#DIV/0!</v>
      </c>
      <c r="G42" s="34"/>
    </row>
    <row r="43" spans="1:8" ht="31.5" hidden="1">
      <c r="A43" s="22"/>
      <c r="B43" s="45" t="s">
        <v>72</v>
      </c>
      <c r="C43" s="13" t="s">
        <v>29</v>
      </c>
      <c r="D43" s="15"/>
      <c r="E43" s="25">
        <f>268.5+1280</f>
        <v>1548.5</v>
      </c>
      <c r="F43" s="35" t="e">
        <f t="shared" si="0"/>
        <v>#DIV/0!</v>
      </c>
      <c r="G43" s="34"/>
    </row>
    <row r="44" spans="1:8">
      <c r="A44" s="22" t="s">
        <v>73</v>
      </c>
      <c r="B44" s="43" t="s">
        <v>74</v>
      </c>
      <c r="C44" s="13" t="s">
        <v>29</v>
      </c>
      <c r="D44" s="49">
        <v>525</v>
      </c>
      <c r="E44" s="25">
        <f>525.445</f>
        <v>525.44500000000005</v>
      </c>
      <c r="F44" s="35">
        <f t="shared" si="0"/>
        <v>8.4761904761919027E-2</v>
      </c>
      <c r="G44" s="27" t="s">
        <v>61</v>
      </c>
    </row>
    <row r="45" spans="1:8" ht="47.25">
      <c r="A45" s="22" t="s">
        <v>75</v>
      </c>
      <c r="B45" s="43" t="s">
        <v>76</v>
      </c>
      <c r="C45" s="13" t="s">
        <v>29</v>
      </c>
      <c r="D45" s="25">
        <v>995</v>
      </c>
      <c r="E45" s="25">
        <v>994.6</v>
      </c>
      <c r="F45" s="25">
        <v>0</v>
      </c>
      <c r="G45" s="27" t="s">
        <v>61</v>
      </c>
    </row>
    <row r="46" spans="1:8" ht="31.5" hidden="1">
      <c r="A46" s="22"/>
      <c r="B46" s="45" t="s">
        <v>77</v>
      </c>
      <c r="C46" s="13"/>
      <c r="D46" s="15"/>
      <c r="E46" s="25"/>
      <c r="F46" s="35" t="e">
        <f t="shared" si="0"/>
        <v>#DIV/0!</v>
      </c>
      <c r="G46" s="27" t="s">
        <v>78</v>
      </c>
    </row>
    <row r="47" spans="1:8" hidden="1">
      <c r="A47" s="22"/>
      <c r="B47" s="45" t="s">
        <v>79</v>
      </c>
      <c r="C47" s="13"/>
      <c r="D47" s="15"/>
      <c r="E47" s="25"/>
      <c r="F47" s="35" t="e">
        <f t="shared" si="0"/>
        <v>#DIV/0!</v>
      </c>
      <c r="G47" s="27" t="s">
        <v>78</v>
      </c>
    </row>
    <row r="48" spans="1:8">
      <c r="A48" s="22" t="s">
        <v>80</v>
      </c>
      <c r="B48" s="43" t="s">
        <v>81</v>
      </c>
      <c r="C48" s="13" t="s">
        <v>29</v>
      </c>
      <c r="D48" s="34">
        <v>579</v>
      </c>
      <c r="E48" s="25">
        <f>456.9+122.5</f>
        <v>579.4</v>
      </c>
      <c r="F48" s="35">
        <v>0</v>
      </c>
      <c r="G48" s="27" t="s">
        <v>61</v>
      </c>
    </row>
    <row r="49" spans="1:8" hidden="1">
      <c r="A49" s="22" t="s">
        <v>82</v>
      </c>
      <c r="B49" s="43" t="s">
        <v>83</v>
      </c>
      <c r="C49" s="13" t="s">
        <v>29</v>
      </c>
      <c r="D49" s="15">
        <v>0</v>
      </c>
      <c r="E49" s="25"/>
      <c r="F49" s="35"/>
      <c r="G49" s="34"/>
    </row>
    <row r="50" spans="1:8" ht="17.25" customHeight="1">
      <c r="A50" s="22" t="s">
        <v>84</v>
      </c>
      <c r="B50" s="43" t="s">
        <v>85</v>
      </c>
      <c r="C50" s="13" t="s">
        <v>29</v>
      </c>
      <c r="D50" s="50">
        <v>117</v>
      </c>
      <c r="E50" s="25">
        <v>117</v>
      </c>
      <c r="F50" s="35">
        <f t="shared" si="0"/>
        <v>0</v>
      </c>
      <c r="G50" s="27" t="s">
        <v>61</v>
      </c>
    </row>
    <row r="51" spans="1:8" ht="47.25">
      <c r="A51" s="22" t="s">
        <v>82</v>
      </c>
      <c r="B51" s="43" t="s">
        <v>86</v>
      </c>
      <c r="C51" s="13" t="s">
        <v>29</v>
      </c>
      <c r="D51" s="25">
        <v>3506</v>
      </c>
      <c r="E51" s="25">
        <f>E52+E53+E54</f>
        <v>3812</v>
      </c>
      <c r="F51" s="35">
        <f t="shared" si="0"/>
        <v>8.7278950370792927</v>
      </c>
      <c r="G51" s="36" t="s">
        <v>87</v>
      </c>
      <c r="H51" s="2" t="s">
        <v>88</v>
      </c>
    </row>
    <row r="52" spans="1:8" hidden="1">
      <c r="A52" s="22"/>
      <c r="B52" s="45" t="s">
        <v>89</v>
      </c>
      <c r="C52" s="13"/>
      <c r="D52" s="15">
        <f>'[1]ремонт тепло-электрообруд'!E15</f>
        <v>1036</v>
      </c>
      <c r="E52" s="25">
        <v>1036</v>
      </c>
      <c r="F52" s="35">
        <f t="shared" si="0"/>
        <v>0</v>
      </c>
      <c r="G52" s="34"/>
    </row>
    <row r="53" spans="1:8" hidden="1">
      <c r="A53" s="22"/>
      <c r="B53" s="45" t="s">
        <v>90</v>
      </c>
      <c r="C53" s="13"/>
      <c r="D53" s="44">
        <f>'[1]ремонт тепло-электрообруд'!E12</f>
        <v>2319.5170000000003</v>
      </c>
      <c r="E53" s="25">
        <f>516+2110</f>
        <v>2626</v>
      </c>
      <c r="F53" s="35">
        <f t="shared" si="0"/>
        <v>13.213224994686385</v>
      </c>
      <c r="G53" s="34"/>
    </row>
    <row r="54" spans="1:8" hidden="1">
      <c r="A54" s="22"/>
      <c r="B54" s="45" t="s">
        <v>91</v>
      </c>
      <c r="C54" s="13"/>
      <c r="D54" s="15">
        <f>'[1]ремонт тепло-электрообруд'!E14</f>
        <v>150</v>
      </c>
      <c r="E54" s="25">
        <v>150</v>
      </c>
      <c r="F54" s="35">
        <f t="shared" si="0"/>
        <v>0</v>
      </c>
      <c r="G54" s="34"/>
    </row>
    <row r="55" spans="1:8">
      <c r="A55" s="22" t="s">
        <v>92</v>
      </c>
      <c r="B55" s="43" t="s">
        <v>93</v>
      </c>
      <c r="C55" s="13" t="s">
        <v>29</v>
      </c>
      <c r="D55" s="25">
        <v>3508</v>
      </c>
      <c r="E55" s="25">
        <f>364.5+168.937+2975</f>
        <v>3508.4369999999999</v>
      </c>
      <c r="F55" s="25">
        <f t="shared" si="0"/>
        <v>1.2457240592937069E-2</v>
      </c>
      <c r="G55" s="27" t="s">
        <v>61</v>
      </c>
    </row>
    <row r="56" spans="1:8" ht="32.25" customHeight="1">
      <c r="A56" s="22" t="s">
        <v>94</v>
      </c>
      <c r="B56" s="43" t="s">
        <v>95</v>
      </c>
      <c r="C56" s="13" t="s">
        <v>29</v>
      </c>
      <c r="D56" s="25">
        <v>2099</v>
      </c>
      <c r="E56" s="25">
        <v>2066.1709999999998</v>
      </c>
      <c r="F56" s="35">
        <f t="shared" si="0"/>
        <v>-1.5640304907098681</v>
      </c>
      <c r="G56" s="27" t="s">
        <v>30</v>
      </c>
    </row>
    <row r="57" spans="1:8" ht="17.25" customHeight="1">
      <c r="A57" s="22" t="s">
        <v>96</v>
      </c>
      <c r="B57" s="43" t="s">
        <v>97</v>
      </c>
      <c r="C57" s="13" t="s">
        <v>29</v>
      </c>
      <c r="D57" s="25">
        <v>232</v>
      </c>
      <c r="E57" s="25">
        <v>237.28100000000001</v>
      </c>
      <c r="F57" s="35">
        <f t="shared" si="0"/>
        <v>2.2762931034482818</v>
      </c>
      <c r="G57" s="27" t="s">
        <v>30</v>
      </c>
    </row>
    <row r="58" spans="1:8" ht="19.899999999999999" customHeight="1">
      <c r="A58" s="22" t="s">
        <v>98</v>
      </c>
      <c r="B58" s="43" t="s">
        <v>99</v>
      </c>
      <c r="C58" s="13" t="s">
        <v>29</v>
      </c>
      <c r="D58" s="51">
        <v>592</v>
      </c>
      <c r="E58" s="25">
        <v>591.90200000000004</v>
      </c>
      <c r="F58" s="25">
        <v>0</v>
      </c>
      <c r="G58" s="27" t="s">
        <v>61</v>
      </c>
    </row>
    <row r="59" spans="1:8" s="20" customFormat="1">
      <c r="A59" s="31" t="s">
        <v>100</v>
      </c>
      <c r="B59" s="17" t="s">
        <v>101</v>
      </c>
      <c r="C59" s="16" t="s">
        <v>29</v>
      </c>
      <c r="D59" s="42">
        <f>D60+D66+D67+D68+D69+D70</f>
        <v>28978</v>
      </c>
      <c r="E59" s="42">
        <f>E60+E66+E67+E68+E69+E70+E71+E72+E73+E74</f>
        <v>30488.927</v>
      </c>
      <c r="F59" s="19">
        <f>E59/D59*100-100</f>
        <v>5.214048588584447</v>
      </c>
      <c r="G59" s="18"/>
    </row>
    <row r="60" spans="1:8" ht="47.25">
      <c r="A60" s="22" t="s">
        <v>102</v>
      </c>
      <c r="B60" s="43" t="s">
        <v>103</v>
      </c>
      <c r="C60" s="13" t="s">
        <v>29</v>
      </c>
      <c r="D60" s="25">
        <v>10149</v>
      </c>
      <c r="E60" s="25">
        <f>E61+E62+E63+E64+E65</f>
        <v>9955.4140000000007</v>
      </c>
      <c r="F60" s="35">
        <f t="shared" ref="F60:F70" si="1">E60/D60*100-100</f>
        <v>-1.9074391565671505</v>
      </c>
      <c r="G60" s="27" t="s">
        <v>30</v>
      </c>
      <c r="H60" s="2" t="s">
        <v>104</v>
      </c>
    </row>
    <row r="61" spans="1:8" hidden="1">
      <c r="A61" s="22"/>
      <c r="B61" s="45" t="s">
        <v>105</v>
      </c>
      <c r="C61" s="13"/>
      <c r="D61" s="51">
        <f>'[1]свод безопас и охрана труда'!E5</f>
        <v>8093</v>
      </c>
      <c r="E61" s="52">
        <v>7996.2690000000002</v>
      </c>
      <c r="F61" s="35">
        <f t="shared" si="1"/>
        <v>-1.1952428024218449</v>
      </c>
      <c r="G61" s="27" t="s">
        <v>106</v>
      </c>
    </row>
    <row r="62" spans="1:8" hidden="1">
      <c r="A62" s="22"/>
      <c r="B62" s="45" t="s">
        <v>107</v>
      </c>
      <c r="C62" s="13"/>
      <c r="D62" s="15"/>
      <c r="E62" s="25"/>
      <c r="F62" s="35" t="e">
        <f t="shared" si="1"/>
        <v>#DIV/0!</v>
      </c>
      <c r="G62" s="27" t="s">
        <v>106</v>
      </c>
    </row>
    <row r="63" spans="1:8" hidden="1">
      <c r="A63" s="22"/>
      <c r="B63" s="45" t="s">
        <v>108</v>
      </c>
      <c r="C63" s="13"/>
      <c r="D63" s="15"/>
      <c r="E63" s="25"/>
      <c r="F63" s="35" t="e">
        <f t="shared" si="1"/>
        <v>#DIV/0!</v>
      </c>
      <c r="G63" s="27" t="s">
        <v>106</v>
      </c>
    </row>
    <row r="64" spans="1:8" hidden="1">
      <c r="A64" s="22"/>
      <c r="B64" s="45" t="s">
        <v>109</v>
      </c>
      <c r="C64" s="13"/>
      <c r="D64" s="51">
        <f>'[1]свод безопас и охрана труда'!E6</f>
        <v>1011</v>
      </c>
      <c r="E64" s="52">
        <f>934.27</f>
        <v>934.27</v>
      </c>
      <c r="F64" s="35">
        <f t="shared" si="1"/>
        <v>-7.589515331355102</v>
      </c>
      <c r="G64" s="27" t="s">
        <v>106</v>
      </c>
    </row>
    <row r="65" spans="1:7" hidden="1">
      <c r="A65" s="22"/>
      <c r="B65" s="45" t="s">
        <v>110</v>
      </c>
      <c r="C65" s="13"/>
      <c r="D65" s="51">
        <f>'[1]свод безопас и охрана труда'!E7</f>
        <v>1045</v>
      </c>
      <c r="E65" s="52">
        <f>1053.875-29</f>
        <v>1024.875</v>
      </c>
      <c r="F65" s="35">
        <f t="shared" si="1"/>
        <v>-1.9258373205741606</v>
      </c>
      <c r="G65" s="27" t="s">
        <v>106</v>
      </c>
    </row>
    <row r="66" spans="1:7">
      <c r="A66" s="22" t="s">
        <v>111</v>
      </c>
      <c r="B66" s="28" t="s">
        <v>112</v>
      </c>
      <c r="C66" s="13" t="s">
        <v>29</v>
      </c>
      <c r="D66" s="25">
        <v>10913</v>
      </c>
      <c r="E66" s="25">
        <v>10913.585999999999</v>
      </c>
      <c r="F66" s="53">
        <f t="shared" si="1"/>
        <v>5.3697425089325179E-3</v>
      </c>
      <c r="G66" s="27" t="s">
        <v>30</v>
      </c>
    </row>
    <row r="67" spans="1:7">
      <c r="A67" s="22" t="s">
        <v>113</v>
      </c>
      <c r="B67" s="28" t="s">
        <v>114</v>
      </c>
      <c r="C67" s="13" t="s">
        <v>29</v>
      </c>
      <c r="D67" s="25">
        <v>2582</v>
      </c>
      <c r="E67" s="25">
        <v>2576.6</v>
      </c>
      <c r="F67" s="35">
        <f t="shared" si="1"/>
        <v>-0.20914020139427691</v>
      </c>
      <c r="G67" s="27" t="s">
        <v>30</v>
      </c>
    </row>
    <row r="68" spans="1:7" ht="38.25">
      <c r="A68" s="22" t="s">
        <v>115</v>
      </c>
      <c r="B68" s="23" t="s">
        <v>116</v>
      </c>
      <c r="C68" s="13" t="s">
        <v>29</v>
      </c>
      <c r="D68" s="25">
        <v>2293</v>
      </c>
      <c r="E68" s="25">
        <f>1088.04+307.667+1050.46+41.622</f>
        <v>2487.7889999999998</v>
      </c>
      <c r="F68" s="53">
        <f t="shared" si="1"/>
        <v>8.4949411251635354</v>
      </c>
      <c r="G68" s="27" t="s">
        <v>117</v>
      </c>
    </row>
    <row r="69" spans="1:7">
      <c r="A69" s="22" t="s">
        <v>118</v>
      </c>
      <c r="B69" s="43" t="s">
        <v>119</v>
      </c>
      <c r="C69" s="13" t="s">
        <v>29</v>
      </c>
      <c r="D69" s="25">
        <v>881</v>
      </c>
      <c r="E69" s="25">
        <v>881</v>
      </c>
      <c r="F69" s="35">
        <f t="shared" si="1"/>
        <v>0</v>
      </c>
      <c r="G69" s="27" t="s">
        <v>61</v>
      </c>
    </row>
    <row r="70" spans="1:7">
      <c r="A70" s="22" t="s">
        <v>120</v>
      </c>
      <c r="B70" s="43" t="s">
        <v>121</v>
      </c>
      <c r="C70" s="13" t="s">
        <v>29</v>
      </c>
      <c r="D70" s="25">
        <v>2160</v>
      </c>
      <c r="E70" s="25">
        <v>2160.2249999999999</v>
      </c>
      <c r="F70" s="35">
        <f t="shared" si="1"/>
        <v>1.0416666666657193E-2</v>
      </c>
      <c r="G70" s="27" t="s">
        <v>61</v>
      </c>
    </row>
    <row r="71" spans="1:7" ht="31.5">
      <c r="A71" s="22" t="s">
        <v>122</v>
      </c>
      <c r="B71" s="43" t="s">
        <v>123</v>
      </c>
      <c r="C71" s="13" t="s">
        <v>29</v>
      </c>
      <c r="D71" s="25"/>
      <c r="E71" s="25">
        <v>160.714</v>
      </c>
      <c r="F71" s="35"/>
      <c r="G71" s="54" t="s">
        <v>124</v>
      </c>
    </row>
    <row r="72" spans="1:7" ht="31.5">
      <c r="A72" s="22" t="s">
        <v>125</v>
      </c>
      <c r="B72" s="43" t="s">
        <v>126</v>
      </c>
      <c r="C72" s="13" t="s">
        <v>29</v>
      </c>
      <c r="D72" s="25"/>
      <c r="E72" s="25">
        <f>138.348+89.285</f>
        <v>227.63300000000001</v>
      </c>
      <c r="F72" s="35"/>
      <c r="G72" s="54"/>
    </row>
    <row r="73" spans="1:7">
      <c r="A73" s="22" t="s">
        <v>127</v>
      </c>
      <c r="B73" s="43" t="s">
        <v>128</v>
      </c>
      <c r="C73" s="13" t="s">
        <v>29</v>
      </c>
      <c r="D73" s="25"/>
      <c r="E73" s="25">
        <v>120.535</v>
      </c>
      <c r="F73" s="35"/>
      <c r="G73" s="54"/>
    </row>
    <row r="74" spans="1:7" ht="51">
      <c r="A74" s="22" t="s">
        <v>129</v>
      </c>
      <c r="B74" s="43" t="s">
        <v>130</v>
      </c>
      <c r="C74" s="13" t="s">
        <v>29</v>
      </c>
      <c r="D74" s="25"/>
      <c r="E74" s="25">
        <f>291.146+714.285</f>
        <v>1005.431</v>
      </c>
      <c r="F74" s="35"/>
      <c r="G74" s="55" t="s">
        <v>131</v>
      </c>
    </row>
    <row r="75" spans="1:7" s="20" customFormat="1">
      <c r="A75" s="31" t="s">
        <v>132</v>
      </c>
      <c r="B75" s="17" t="s">
        <v>133</v>
      </c>
      <c r="C75" s="16" t="s">
        <v>29</v>
      </c>
      <c r="D75" s="42">
        <f>D76</f>
        <v>643419.677256</v>
      </c>
      <c r="E75" s="42">
        <f>E76</f>
        <v>682119.38880000019</v>
      </c>
      <c r="F75" s="19">
        <f>E75/D75*100-100</f>
        <v>6.0146919517667357</v>
      </c>
      <c r="G75" s="18"/>
    </row>
    <row r="76" spans="1:7" ht="31.5">
      <c r="A76" s="22" t="s">
        <v>134</v>
      </c>
      <c r="B76" s="28" t="s">
        <v>135</v>
      </c>
      <c r="C76" s="13" t="s">
        <v>29</v>
      </c>
      <c r="D76" s="56">
        <f>D77+D80+D81+D82+D83+D84+D89+D90+D91+D92+D93</f>
        <v>643419.677256</v>
      </c>
      <c r="E76" s="44">
        <f>E77+E80+E81+E82+E83+E84+E89+E90+E91+E92+E93</f>
        <v>682119.38880000019</v>
      </c>
      <c r="F76" s="35">
        <f t="shared" ref="F76:F92" si="2">E76/D76*100-100</f>
        <v>6.0146919517667357</v>
      </c>
      <c r="G76" s="34"/>
    </row>
    <row r="77" spans="1:7">
      <c r="A77" s="22" t="s">
        <v>136</v>
      </c>
      <c r="B77" s="28" t="s">
        <v>137</v>
      </c>
      <c r="C77" s="13" t="s">
        <v>29</v>
      </c>
      <c r="D77" s="56">
        <f>D78+D79</f>
        <v>80865.677255999995</v>
      </c>
      <c r="E77" s="44">
        <f>E78+E79</f>
        <v>115871.08679999999</v>
      </c>
      <c r="F77" s="35">
        <f t="shared" si="2"/>
        <v>43.288340284570722</v>
      </c>
      <c r="G77" s="34"/>
    </row>
    <row r="78" spans="1:7" ht="51">
      <c r="A78" s="22" t="s">
        <v>138</v>
      </c>
      <c r="B78" s="23" t="s">
        <v>139</v>
      </c>
      <c r="C78" s="13" t="s">
        <v>29</v>
      </c>
      <c r="D78" s="34">
        <f>D120*D123*12/1000</f>
        <v>73581.144</v>
      </c>
      <c r="E78" s="57">
        <v>105433.2</v>
      </c>
      <c r="F78" s="35">
        <f t="shared" si="2"/>
        <v>43.288340284570722</v>
      </c>
      <c r="G78" s="36" t="s">
        <v>39</v>
      </c>
    </row>
    <row r="79" spans="1:7" ht="25.5">
      <c r="A79" s="22" t="s">
        <v>140</v>
      </c>
      <c r="B79" s="23" t="s">
        <v>41</v>
      </c>
      <c r="C79" s="13" t="s">
        <v>29</v>
      </c>
      <c r="D79" s="44">
        <f>(D78-D78*0.1)*0.11</f>
        <v>7284.5332559999997</v>
      </c>
      <c r="E79" s="58">
        <f>(E78-E78*0.1)*0.11</f>
        <v>10437.8868</v>
      </c>
      <c r="F79" s="35">
        <f t="shared" si="2"/>
        <v>43.288340284570722</v>
      </c>
      <c r="G79" s="27" t="s">
        <v>42</v>
      </c>
    </row>
    <row r="80" spans="1:7" ht="38.25">
      <c r="A80" s="22" t="s">
        <v>141</v>
      </c>
      <c r="B80" s="23" t="s">
        <v>43</v>
      </c>
      <c r="C80" s="13" t="s">
        <v>29</v>
      </c>
      <c r="D80" s="34">
        <v>16819</v>
      </c>
      <c r="E80" s="44">
        <v>20408.900000000001</v>
      </c>
      <c r="F80" s="35">
        <f t="shared" si="2"/>
        <v>21.344312979368581</v>
      </c>
      <c r="G80" s="27" t="s">
        <v>142</v>
      </c>
    </row>
    <row r="81" spans="1:11">
      <c r="A81" s="22" t="s">
        <v>143</v>
      </c>
      <c r="B81" s="28" t="s">
        <v>144</v>
      </c>
      <c r="C81" s="13" t="s">
        <v>29</v>
      </c>
      <c r="D81" s="44">
        <v>498590</v>
      </c>
      <c r="E81" s="59">
        <f>1306.232+71.132+493682.369+584.748+1.879+1751.654+634.24+504.208</f>
        <v>498536.462</v>
      </c>
      <c r="F81" s="53">
        <f t="shared" si="2"/>
        <v>-1.0737880823924684E-2</v>
      </c>
      <c r="G81" s="27" t="s">
        <v>30</v>
      </c>
    </row>
    <row r="82" spans="1:11">
      <c r="A82" s="22" t="s">
        <v>145</v>
      </c>
      <c r="B82" s="28" t="s">
        <v>146</v>
      </c>
      <c r="C82" s="13" t="s">
        <v>29</v>
      </c>
      <c r="D82" s="25">
        <v>1126</v>
      </c>
      <c r="E82" s="59">
        <f>311.181+819.386</f>
        <v>1130.567</v>
      </c>
      <c r="F82" s="35">
        <f t="shared" si="2"/>
        <v>0.40559502664298464</v>
      </c>
      <c r="G82" s="27" t="s">
        <v>30</v>
      </c>
    </row>
    <row r="83" spans="1:11">
      <c r="A83" s="22" t="s">
        <v>147</v>
      </c>
      <c r="B83" s="28" t="s">
        <v>148</v>
      </c>
      <c r="C83" s="13" t="s">
        <v>29</v>
      </c>
      <c r="D83" s="25">
        <v>3806</v>
      </c>
      <c r="E83" s="59">
        <v>3806.3</v>
      </c>
      <c r="F83" s="35">
        <f t="shared" si="2"/>
        <v>7.8822911193014988E-3</v>
      </c>
      <c r="G83" s="27" t="s">
        <v>61</v>
      </c>
    </row>
    <row r="84" spans="1:11" ht="47.25" customHeight="1">
      <c r="A84" s="22" t="s">
        <v>149</v>
      </c>
      <c r="B84" s="28" t="s">
        <v>150</v>
      </c>
      <c r="C84" s="13" t="s">
        <v>29</v>
      </c>
      <c r="D84" s="25">
        <v>3143</v>
      </c>
      <c r="E84" s="59">
        <f>E85+E86+E87+E88</f>
        <v>3142.1309999999994</v>
      </c>
      <c r="F84" s="53">
        <f t="shared" si="2"/>
        <v>-2.7648743238955831E-2</v>
      </c>
      <c r="G84" s="27" t="s">
        <v>30</v>
      </c>
      <c r="K84" s="2" t="s">
        <v>151</v>
      </c>
    </row>
    <row r="85" spans="1:11" hidden="1">
      <c r="A85" s="22"/>
      <c r="B85" s="60" t="s">
        <v>152</v>
      </c>
      <c r="C85" s="13"/>
      <c r="D85" s="25">
        <v>2056.8320000000003</v>
      </c>
      <c r="E85" s="59">
        <f>1104.764+961.944</f>
        <v>2066.7079999999996</v>
      </c>
      <c r="F85" s="35">
        <f t="shared" si="2"/>
        <v>0.48015589022338645</v>
      </c>
      <c r="G85" s="34"/>
    </row>
    <row r="86" spans="1:11" hidden="1">
      <c r="A86" s="22"/>
      <c r="B86" s="60" t="s">
        <v>153</v>
      </c>
      <c r="C86" s="13"/>
      <c r="D86" s="25">
        <v>575.37900000000002</v>
      </c>
      <c r="E86" s="59">
        <v>567.65599999999995</v>
      </c>
      <c r="F86" s="35">
        <f t="shared" si="2"/>
        <v>-1.3422457197777504</v>
      </c>
      <c r="G86" s="24" t="s">
        <v>106</v>
      </c>
    </row>
    <row r="87" spans="1:11" hidden="1">
      <c r="A87" s="22"/>
      <c r="B87" s="60" t="s">
        <v>154</v>
      </c>
      <c r="C87" s="13"/>
      <c r="D87" s="25">
        <v>449.00400000000002</v>
      </c>
      <c r="E87" s="59">
        <v>443.6</v>
      </c>
      <c r="F87" s="35">
        <f t="shared" si="2"/>
        <v>-1.2035527523140104</v>
      </c>
      <c r="G87" s="24" t="s">
        <v>106</v>
      </c>
    </row>
    <row r="88" spans="1:11" hidden="1">
      <c r="A88" s="22"/>
      <c r="B88" s="60" t="s">
        <v>155</v>
      </c>
      <c r="C88" s="13"/>
      <c r="D88" s="25">
        <v>64.162999999999997</v>
      </c>
      <c r="E88" s="59">
        <v>64.167000000000002</v>
      </c>
      <c r="F88" s="35">
        <f t="shared" si="2"/>
        <v>6.2341224693369668E-3</v>
      </c>
      <c r="G88" s="34"/>
    </row>
    <row r="89" spans="1:11">
      <c r="A89" s="22" t="s">
        <v>156</v>
      </c>
      <c r="B89" s="23" t="s">
        <v>116</v>
      </c>
      <c r="C89" s="13" t="s">
        <v>29</v>
      </c>
      <c r="D89" s="25">
        <v>1113</v>
      </c>
      <c r="E89" s="61">
        <f>318.192+314.611+138.74+291.354</f>
        <v>1062.8969999999999</v>
      </c>
      <c r="F89" s="35">
        <f t="shared" si="2"/>
        <v>-4.5016172506738599</v>
      </c>
      <c r="G89" s="27" t="s">
        <v>30</v>
      </c>
    </row>
    <row r="90" spans="1:11">
      <c r="A90" s="22" t="s">
        <v>157</v>
      </c>
      <c r="B90" s="28" t="s">
        <v>65</v>
      </c>
      <c r="C90" s="13" t="s">
        <v>29</v>
      </c>
      <c r="D90" s="25">
        <v>1943</v>
      </c>
      <c r="E90" s="59">
        <v>1917.7</v>
      </c>
      <c r="F90" s="35">
        <f t="shared" si="2"/>
        <v>-1.3021101389603729</v>
      </c>
      <c r="G90" s="27" t="s">
        <v>30</v>
      </c>
    </row>
    <row r="91" spans="1:11" ht="31.5">
      <c r="A91" s="22" t="s">
        <v>158</v>
      </c>
      <c r="B91" s="23" t="s">
        <v>159</v>
      </c>
      <c r="C91" s="13" t="s">
        <v>29</v>
      </c>
      <c r="D91" s="25">
        <v>5344</v>
      </c>
      <c r="E91" s="59">
        <f>2852.589+339.761+470+174+207+1339.2</f>
        <v>5382.55</v>
      </c>
      <c r="F91" s="35">
        <f t="shared" si="2"/>
        <v>0.72136976047904966</v>
      </c>
      <c r="G91" s="27" t="s">
        <v>30</v>
      </c>
    </row>
    <row r="92" spans="1:11" ht="18.600000000000001" customHeight="1">
      <c r="A92" s="22" t="s">
        <v>160</v>
      </c>
      <c r="B92" s="28" t="s">
        <v>161</v>
      </c>
      <c r="C92" s="13" t="s">
        <v>29</v>
      </c>
      <c r="D92" s="25">
        <v>2290</v>
      </c>
      <c r="E92" s="59">
        <v>2246.6129999999998</v>
      </c>
      <c r="F92" s="35">
        <f t="shared" si="2"/>
        <v>-1.8946288209607047</v>
      </c>
      <c r="G92" s="27" t="s">
        <v>30</v>
      </c>
    </row>
    <row r="93" spans="1:11">
      <c r="A93" s="22" t="s">
        <v>162</v>
      </c>
      <c r="B93" s="17" t="s">
        <v>163</v>
      </c>
      <c r="C93" s="13" t="s">
        <v>29</v>
      </c>
      <c r="D93" s="62">
        <f>D94+D101+D95+D99+D103+D97+D104+D100+D98+D96+D102+D106+D105</f>
        <v>28380</v>
      </c>
      <c r="E93" s="63">
        <f>E94+E101+E95+E99+E103+E97+E104+E100+E98+E96+E102+E106+E105</f>
        <v>28614.182000000001</v>
      </c>
      <c r="F93" s="19">
        <f>E93/D93*100-100</f>
        <v>0.82516560958421792</v>
      </c>
      <c r="G93" s="27"/>
    </row>
    <row r="94" spans="1:11">
      <c r="A94" s="22" t="s">
        <v>164</v>
      </c>
      <c r="B94" s="28" t="s">
        <v>165</v>
      </c>
      <c r="C94" s="13" t="s">
        <v>29</v>
      </c>
      <c r="D94" s="25">
        <v>16002</v>
      </c>
      <c r="E94" s="61">
        <v>15859.978999999999</v>
      </c>
      <c r="F94" s="35">
        <f t="shared" ref="F94:F106" si="3">E94/D94*100-100</f>
        <v>-0.88752030996126052</v>
      </c>
      <c r="G94" s="27" t="s">
        <v>30</v>
      </c>
    </row>
    <row r="95" spans="1:11" ht="25.5">
      <c r="A95" s="22" t="s">
        <v>166</v>
      </c>
      <c r="B95" s="23" t="s">
        <v>167</v>
      </c>
      <c r="C95" s="13" t="s">
        <v>29</v>
      </c>
      <c r="D95" s="25">
        <v>2385</v>
      </c>
      <c r="E95" s="61">
        <f>1175.444+2562.967-1339.2+200</f>
        <v>2599.2110000000002</v>
      </c>
      <c r="F95" s="35">
        <f t="shared" si="3"/>
        <v>8.9815932914046215</v>
      </c>
      <c r="G95" s="27" t="s">
        <v>168</v>
      </c>
    </row>
    <row r="96" spans="1:11">
      <c r="A96" s="22" t="s">
        <v>169</v>
      </c>
      <c r="B96" s="28" t="s">
        <v>170</v>
      </c>
      <c r="C96" s="13" t="s">
        <v>29</v>
      </c>
      <c r="D96" s="49">
        <v>5538</v>
      </c>
      <c r="E96" s="61">
        <v>5537.9459999999999</v>
      </c>
      <c r="F96" s="35">
        <v>0</v>
      </c>
      <c r="G96" s="27" t="s">
        <v>61</v>
      </c>
    </row>
    <row r="97" spans="1:7">
      <c r="A97" s="22" t="s">
        <v>171</v>
      </c>
      <c r="B97" s="28" t="s">
        <v>172</v>
      </c>
      <c r="C97" s="13" t="s">
        <v>29</v>
      </c>
      <c r="D97" s="25">
        <v>869</v>
      </c>
      <c r="E97" s="61">
        <v>869.43499999999995</v>
      </c>
      <c r="F97" s="35">
        <f t="shared" si="3"/>
        <v>5.0057537399311514E-2</v>
      </c>
      <c r="G97" s="27" t="s">
        <v>61</v>
      </c>
    </row>
    <row r="98" spans="1:7" ht="25.5">
      <c r="A98" s="22" t="s">
        <v>173</v>
      </c>
      <c r="B98" s="23" t="s">
        <v>174</v>
      </c>
      <c r="C98" s="13" t="s">
        <v>29</v>
      </c>
      <c r="D98" s="25">
        <v>276</v>
      </c>
      <c r="E98" s="61">
        <v>451.68400000000003</v>
      </c>
      <c r="F98" s="35">
        <f t="shared" si="3"/>
        <v>63.653623188405817</v>
      </c>
      <c r="G98" s="27" t="s">
        <v>175</v>
      </c>
    </row>
    <row r="99" spans="1:7">
      <c r="A99" s="22" t="s">
        <v>176</v>
      </c>
      <c r="B99" s="28" t="s">
        <v>114</v>
      </c>
      <c r="C99" s="13" t="s">
        <v>29</v>
      </c>
      <c r="D99" s="25">
        <v>820</v>
      </c>
      <c r="E99" s="61">
        <v>819.2</v>
      </c>
      <c r="F99" s="35">
        <f t="shared" si="3"/>
        <v>-9.7560975609738421E-2</v>
      </c>
      <c r="G99" s="27" t="s">
        <v>30</v>
      </c>
    </row>
    <row r="100" spans="1:7">
      <c r="A100" s="22" t="s">
        <v>177</v>
      </c>
      <c r="B100" s="28" t="s">
        <v>178</v>
      </c>
      <c r="C100" s="13" t="s">
        <v>29</v>
      </c>
      <c r="D100" s="25">
        <v>206</v>
      </c>
      <c r="E100" s="61">
        <v>211.6</v>
      </c>
      <c r="F100" s="35">
        <f t="shared" si="3"/>
        <v>2.7184466019417357</v>
      </c>
      <c r="G100" s="27" t="s">
        <v>30</v>
      </c>
    </row>
    <row r="101" spans="1:7">
      <c r="A101" s="22" t="s">
        <v>179</v>
      </c>
      <c r="B101" s="23" t="s">
        <v>180</v>
      </c>
      <c r="C101" s="13" t="s">
        <v>29</v>
      </c>
      <c r="D101" s="46">
        <v>254</v>
      </c>
      <c r="E101" s="61">
        <v>252.97</v>
      </c>
      <c r="F101" s="35">
        <f t="shared" si="3"/>
        <v>-0.40551181102361511</v>
      </c>
      <c r="G101" s="27" t="s">
        <v>30</v>
      </c>
    </row>
    <row r="102" spans="1:7">
      <c r="A102" s="22" t="s">
        <v>181</v>
      </c>
      <c r="B102" s="28" t="s">
        <v>182</v>
      </c>
      <c r="C102" s="13" t="s">
        <v>29</v>
      </c>
      <c r="D102" s="25">
        <v>317</v>
      </c>
      <c r="E102" s="61">
        <v>316.7</v>
      </c>
      <c r="F102" s="35">
        <f t="shared" si="3"/>
        <v>-9.46372239747717E-2</v>
      </c>
      <c r="G102" s="27" t="s">
        <v>61</v>
      </c>
    </row>
    <row r="103" spans="1:7" ht="16.5" customHeight="1">
      <c r="A103" s="22" t="s">
        <v>183</v>
      </c>
      <c r="B103" s="28" t="s">
        <v>184</v>
      </c>
      <c r="C103" s="13" t="s">
        <v>29</v>
      </c>
      <c r="D103" s="49">
        <v>838</v>
      </c>
      <c r="E103" s="61">
        <f>140+698.589</f>
        <v>838.58900000000006</v>
      </c>
      <c r="F103" s="35">
        <f t="shared" si="3"/>
        <v>7.0286396181387545E-2</v>
      </c>
      <c r="G103" s="27" t="s">
        <v>30</v>
      </c>
    </row>
    <row r="104" spans="1:7" ht="17.25" customHeight="1">
      <c r="A104" s="22" t="s">
        <v>185</v>
      </c>
      <c r="B104" s="28" t="s">
        <v>186</v>
      </c>
      <c r="C104" s="13" t="s">
        <v>29</v>
      </c>
      <c r="D104" s="44">
        <v>828</v>
      </c>
      <c r="E104" s="61">
        <v>810.23</v>
      </c>
      <c r="F104" s="35">
        <f t="shared" si="3"/>
        <v>-2.1461352657004795</v>
      </c>
      <c r="G104" s="27" t="s">
        <v>30</v>
      </c>
    </row>
    <row r="105" spans="1:7" ht="15" customHeight="1">
      <c r="A105" s="22" t="s">
        <v>187</v>
      </c>
      <c r="B105" s="23" t="s">
        <v>188</v>
      </c>
      <c r="C105" s="13" t="s">
        <v>29</v>
      </c>
      <c r="D105" s="51">
        <v>18</v>
      </c>
      <c r="E105" s="61">
        <v>17.638000000000002</v>
      </c>
      <c r="F105" s="35">
        <f t="shared" si="3"/>
        <v>-2.0111111111110915</v>
      </c>
      <c r="G105" s="27" t="s">
        <v>30</v>
      </c>
    </row>
    <row r="106" spans="1:7" ht="16.5" customHeight="1">
      <c r="A106" s="22" t="s">
        <v>189</v>
      </c>
      <c r="B106" s="28" t="s">
        <v>190</v>
      </c>
      <c r="C106" s="13" t="s">
        <v>29</v>
      </c>
      <c r="D106" s="25">
        <v>29</v>
      </c>
      <c r="E106" s="25">
        <v>29</v>
      </c>
      <c r="F106" s="35">
        <f t="shared" si="3"/>
        <v>0</v>
      </c>
      <c r="G106" s="27" t="s">
        <v>61</v>
      </c>
    </row>
    <row r="107" spans="1:7" ht="17.25" customHeight="1">
      <c r="A107" s="31" t="s">
        <v>191</v>
      </c>
      <c r="B107" s="17" t="s">
        <v>192</v>
      </c>
      <c r="C107" s="16" t="s">
        <v>29</v>
      </c>
      <c r="D107" s="18">
        <f>D19+D75+D114</f>
        <v>4286777.0415599998</v>
      </c>
      <c r="E107" s="18">
        <f>E19+E75+E114</f>
        <v>4700518.3647600003</v>
      </c>
      <c r="F107" s="19">
        <f>E107/D107*100-100</f>
        <v>9.6515708465545913</v>
      </c>
      <c r="G107" s="18"/>
    </row>
    <row r="108" spans="1:7">
      <c r="A108" s="22" t="s">
        <v>193</v>
      </c>
      <c r="B108" s="28" t="s">
        <v>194</v>
      </c>
      <c r="C108" s="13" t="s">
        <v>29</v>
      </c>
      <c r="D108" s="64">
        <v>152800</v>
      </c>
      <c r="E108" s="24">
        <f>E110-E107</f>
        <v>94753.255239999853</v>
      </c>
      <c r="F108" s="65">
        <f t="shared" ref="F108:F123" si="4">E108/D108*100</f>
        <v>62.011292696334984</v>
      </c>
      <c r="G108" s="66"/>
    </row>
    <row r="109" spans="1:7" ht="31.5" hidden="1">
      <c r="A109" s="22" t="s">
        <v>195</v>
      </c>
      <c r="B109" s="28" t="s">
        <v>196</v>
      </c>
      <c r="C109" s="13" t="s">
        <v>29</v>
      </c>
      <c r="D109" s="56">
        <v>2878926</v>
      </c>
      <c r="E109" s="48"/>
      <c r="F109" s="67">
        <f t="shared" si="4"/>
        <v>0</v>
      </c>
      <c r="G109" s="68"/>
    </row>
    <row r="110" spans="1:7">
      <c r="A110" s="31" t="s">
        <v>197</v>
      </c>
      <c r="B110" s="17" t="s">
        <v>198</v>
      </c>
      <c r="C110" s="16" t="s">
        <v>29</v>
      </c>
      <c r="D110" s="18">
        <f>D107+D108</f>
        <v>4439577.0415599998</v>
      </c>
      <c r="E110" s="18">
        <f>E111</f>
        <v>4795271.62</v>
      </c>
      <c r="F110" s="19">
        <f t="shared" ref="F110:F114" si="5">E110/D110*100-100</f>
        <v>8.0119023751644249</v>
      </c>
      <c r="G110" s="18"/>
    </row>
    <row r="111" spans="1:7" ht="102">
      <c r="A111" s="31" t="s">
        <v>199</v>
      </c>
      <c r="B111" s="69" t="s">
        <v>200</v>
      </c>
      <c r="C111" s="16" t="s">
        <v>201</v>
      </c>
      <c r="D111" s="18">
        <v>4439233</v>
      </c>
      <c r="E111" s="41">
        <f>4095574.3+699697.32</f>
        <v>4795271.62</v>
      </c>
      <c r="F111" s="19">
        <f t="shared" si="5"/>
        <v>8.0202733219905298</v>
      </c>
      <c r="G111" s="27" t="s">
        <v>202</v>
      </c>
    </row>
    <row r="112" spans="1:7" ht="38.25">
      <c r="A112" s="70" t="s">
        <v>203</v>
      </c>
      <c r="B112" s="71" t="s">
        <v>204</v>
      </c>
      <c r="C112" s="16" t="s">
        <v>205</v>
      </c>
      <c r="D112" s="72">
        <v>14.4</v>
      </c>
      <c r="E112" s="73">
        <v>13.59</v>
      </c>
      <c r="F112" s="19"/>
      <c r="G112" s="27" t="s">
        <v>206</v>
      </c>
    </row>
    <row r="113" spans="1:7" ht="23.25" customHeight="1">
      <c r="A113" s="70"/>
      <c r="B113" s="71"/>
      <c r="C113" s="16" t="s">
        <v>201</v>
      </c>
      <c r="D113" s="18">
        <f>'[1]нормативные потери'!F6</f>
        <v>748828</v>
      </c>
      <c r="E113" s="74">
        <v>757285.42</v>
      </c>
      <c r="F113" s="19">
        <f t="shared" si="5"/>
        <v>1.1294209084062032</v>
      </c>
      <c r="G113" s="27" t="s">
        <v>30</v>
      </c>
    </row>
    <row r="114" spans="1:7" ht="31.5">
      <c r="A114" s="70"/>
      <c r="B114" s="71"/>
      <c r="C114" s="16" t="s">
        <v>25</v>
      </c>
      <c r="D114" s="75">
        <v>927049</v>
      </c>
      <c r="E114" s="74">
        <f>E113*1238/1000</f>
        <v>937519.34996000002</v>
      </c>
      <c r="F114" s="19">
        <f t="shared" si="5"/>
        <v>1.1294278900036545</v>
      </c>
      <c r="G114" s="27" t="s">
        <v>30</v>
      </c>
    </row>
    <row r="115" spans="1:7" s="77" customFormat="1" ht="31.5">
      <c r="A115" s="31" t="s">
        <v>207</v>
      </c>
      <c r="B115" s="32" t="s">
        <v>208</v>
      </c>
      <c r="C115" s="16" t="s">
        <v>209</v>
      </c>
      <c r="D115" s="18">
        <f>D110/D111*1000</f>
        <v>1000.0775002258273</v>
      </c>
      <c r="E115" s="76">
        <v>1000</v>
      </c>
      <c r="F115" s="19">
        <v>0</v>
      </c>
      <c r="G115" s="18"/>
    </row>
    <row r="116" spans="1:7">
      <c r="A116" s="22"/>
      <c r="B116" s="78" t="s">
        <v>210</v>
      </c>
      <c r="C116" s="13"/>
      <c r="D116" s="48"/>
      <c r="E116" s="48"/>
      <c r="F116" s="67"/>
      <c r="G116" s="68"/>
    </row>
    <row r="117" spans="1:7" ht="15.75" customHeight="1">
      <c r="A117" s="22" t="s">
        <v>211</v>
      </c>
      <c r="B117" s="79" t="s">
        <v>212</v>
      </c>
      <c r="C117" s="13" t="s">
        <v>213</v>
      </c>
      <c r="D117" s="56">
        <f>D119+D120</f>
        <v>711</v>
      </c>
      <c r="E117" s="80">
        <v>676</v>
      </c>
      <c r="F117" s="65">
        <f t="shared" si="4"/>
        <v>95.077355836849506</v>
      </c>
      <c r="G117" s="81" t="s">
        <v>214</v>
      </c>
    </row>
    <row r="118" spans="1:7">
      <c r="A118" s="22"/>
      <c r="B118" s="79" t="s">
        <v>215</v>
      </c>
      <c r="C118" s="13"/>
      <c r="D118" s="56"/>
      <c r="E118" s="80"/>
      <c r="F118" s="65"/>
      <c r="G118" s="81"/>
    </row>
    <row r="119" spans="1:7">
      <c r="A119" s="22" t="s">
        <v>216</v>
      </c>
      <c r="B119" s="79" t="s">
        <v>217</v>
      </c>
      <c r="C119" s="13" t="s">
        <v>29</v>
      </c>
      <c r="D119" s="56">
        <f>632+30</f>
        <v>662</v>
      </c>
      <c r="E119" s="80">
        <v>628</v>
      </c>
      <c r="F119" s="65">
        <f t="shared" si="4"/>
        <v>94.864048338368576</v>
      </c>
      <c r="G119" s="81"/>
    </row>
    <row r="120" spans="1:7">
      <c r="A120" s="22" t="s">
        <v>218</v>
      </c>
      <c r="B120" s="79" t="s">
        <v>219</v>
      </c>
      <c r="C120" s="13" t="s">
        <v>29</v>
      </c>
      <c r="D120" s="56">
        <v>49</v>
      </c>
      <c r="E120" s="80">
        <v>48</v>
      </c>
      <c r="F120" s="65">
        <f t="shared" si="4"/>
        <v>97.959183673469383</v>
      </c>
      <c r="G120" s="81"/>
    </row>
    <row r="121" spans="1:7" ht="38.25" customHeight="1">
      <c r="A121" s="22" t="s">
        <v>220</v>
      </c>
      <c r="B121" s="79" t="s">
        <v>221</v>
      </c>
      <c r="C121" s="13" t="s">
        <v>222</v>
      </c>
      <c r="D121" s="56">
        <f>(D25+D78)/12/D117*1000</f>
        <v>85283.924050632908</v>
      </c>
      <c r="E121" s="56">
        <f>(E25+E78)/12/E117*1000</f>
        <v>130679.38856015778</v>
      </c>
      <c r="F121" s="26">
        <f t="shared" si="4"/>
        <v>153.22863014906966</v>
      </c>
      <c r="G121" s="81" t="s">
        <v>223</v>
      </c>
    </row>
    <row r="122" spans="1:7" ht="27.75" customHeight="1">
      <c r="A122" s="22" t="s">
        <v>224</v>
      </c>
      <c r="B122" s="79" t="s">
        <v>225</v>
      </c>
      <c r="C122" s="13" t="s">
        <v>29</v>
      </c>
      <c r="D122" s="56">
        <v>82334</v>
      </c>
      <c r="E122" s="56">
        <f>E25/E119/12*1000</f>
        <v>126677.01698513799</v>
      </c>
      <c r="F122" s="26">
        <f t="shared" si="4"/>
        <v>153.85747927361479</v>
      </c>
      <c r="G122" s="81"/>
    </row>
    <row r="123" spans="1:7" ht="27.75" customHeight="1">
      <c r="A123" s="22" t="s">
        <v>226</v>
      </c>
      <c r="B123" s="79" t="s">
        <v>227</v>
      </c>
      <c r="C123" s="13" t="s">
        <v>29</v>
      </c>
      <c r="D123" s="56">
        <v>125138</v>
      </c>
      <c r="E123" s="56">
        <f>E78/12/E120*1000</f>
        <v>183043.75000000003</v>
      </c>
      <c r="F123" s="26">
        <f t="shared" si="4"/>
        <v>146.27351404049932</v>
      </c>
      <c r="G123" s="81"/>
    </row>
    <row r="125" spans="1:7">
      <c r="B125" s="82" t="s">
        <v>228</v>
      </c>
      <c r="C125" s="82"/>
      <c r="D125" s="82"/>
      <c r="E125" s="82"/>
    </row>
    <row r="126" spans="1:7">
      <c r="B126" s="82" t="s">
        <v>229</v>
      </c>
      <c r="C126" s="82"/>
      <c r="D126" s="82"/>
      <c r="E126" s="82"/>
    </row>
    <row r="127" spans="1:7">
      <c r="B127" s="83" t="s">
        <v>230</v>
      </c>
      <c r="C127" s="83"/>
      <c r="D127" s="83"/>
      <c r="E127" s="83"/>
    </row>
    <row r="128" spans="1:7" s="85" customFormat="1" ht="18.75">
      <c r="A128" s="84"/>
      <c r="B128" s="82" t="s">
        <v>231</v>
      </c>
      <c r="C128" s="82"/>
      <c r="D128" s="82"/>
      <c r="E128" s="82"/>
    </row>
    <row r="129" spans="1:6" s="85" customFormat="1" ht="18.75">
      <c r="A129" s="84"/>
      <c r="B129" s="82" t="s">
        <v>232</v>
      </c>
      <c r="C129" s="82"/>
      <c r="D129" s="82"/>
      <c r="E129" s="82"/>
    </row>
    <row r="131" spans="1:6" s="85" customFormat="1" ht="18.75">
      <c r="A131" s="84"/>
      <c r="B131" s="86" t="s">
        <v>233</v>
      </c>
      <c r="E131" s="87"/>
      <c r="F131" s="85" t="s">
        <v>234</v>
      </c>
    </row>
    <row r="133" spans="1:6" ht="18.75">
      <c r="A133" s="88" t="s">
        <v>235</v>
      </c>
      <c r="B133" s="89"/>
    </row>
    <row r="134" spans="1:6" ht="18.75">
      <c r="A134" s="88" t="s">
        <v>236</v>
      </c>
      <c r="B134" s="89"/>
      <c r="F134" s="85"/>
    </row>
  </sheetData>
  <mergeCells count="14">
    <mergeCell ref="B128:E128"/>
    <mergeCell ref="B129:E129"/>
    <mergeCell ref="A112:A114"/>
    <mergeCell ref="B112:B114"/>
    <mergeCell ref="G117:G120"/>
    <mergeCell ref="G121:G123"/>
    <mergeCell ref="B125:E125"/>
    <mergeCell ref="B126:E126"/>
    <mergeCell ref="A8:G8"/>
    <mergeCell ref="A9:G9"/>
    <mergeCell ref="A10:G10"/>
    <mergeCell ref="A11:G11"/>
    <mergeCell ref="A15:G15"/>
    <mergeCell ref="G71:G73"/>
  </mergeCells>
  <pageMargins left="0.56999999999999995" right="0.19685039370078741" top="0.27559055118110237" bottom="0.15748031496062992" header="0.19685039370078741" footer="0.15748031496062992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год реал факт</vt:lpstr>
      <vt:lpstr>'III год реал факт'!Область_печати</vt:lpstr>
    </vt:vector>
  </TitlesOfParts>
  <Company>tranzit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2016-04-15T11:04:22Z</dcterms:created>
  <dcterms:modified xsi:type="dcterms:W3CDTF">2016-04-15T11:05:56Z</dcterms:modified>
</cp:coreProperties>
</file>