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-4980" yWindow="-276" windowWidth="15120" windowHeight="8016" firstSheet="3" activeTab="3"/>
  </bookViews>
  <sheets>
    <sheet name="Расчет на СТУ" sheetId="15" state="hidden" r:id="rId1"/>
    <sheet name="Сводная по корр" sheetId="14" state="hidden" r:id="rId2"/>
    <sheet name="факт. (за 2 квартал)" sheetId="40" state="hidden" r:id="rId3"/>
    <sheet name="2 год" sheetId="63" r:id="rId4"/>
    <sheet name="факт. на 01.07. с примеч (2)" sheetId="38" state="hidden" r:id="rId5"/>
    <sheet name="испол. на 18.07. с примеч" sheetId="37" state="hidden" r:id="rId6"/>
    <sheet name="исполнение на 15.07.2014г." sheetId="25" state="hidden" r:id="rId7"/>
    <sheet name="Сведение на корректировку" sheetId="22" state="hidden" r:id="rId8"/>
    <sheet name="Трансп.с ценовыми предл." sheetId="16" state="hidden" r:id="rId9"/>
    <sheet name="2014 " sheetId="2" state="hidden" r:id="rId10"/>
    <sheet name="2015" sheetId="3" state="hidden" r:id="rId11"/>
    <sheet name="свод" sheetId="7" state="hidden" r:id="rId12"/>
    <sheet name="свод 2" sheetId="9" state="hidden" r:id="rId13"/>
  </sheets>
  <externalReferences>
    <externalReference r:id="rId14"/>
  </externalReferences>
  <definedNames>
    <definedName name="_xlnm.Print_Titles" localSheetId="3">'2 год'!$5:$6</definedName>
    <definedName name="_xlnm.Print_Titles" localSheetId="5">'испол. на 18.07. с примеч'!$5:$5</definedName>
    <definedName name="_xlnm.Print_Titles" localSheetId="6">'исполнение на 15.07.2014г.'!$4:$4</definedName>
    <definedName name="_xlnm.Print_Titles" localSheetId="7">'Сведение на корректировку'!$3:$3</definedName>
    <definedName name="_xlnm.Print_Titles" localSheetId="11">свод!$9:$10</definedName>
    <definedName name="_xlnm.Print_Titles" localSheetId="2">'факт. (за 2 квартал)'!$5:$5</definedName>
    <definedName name="_xlnm.Print_Titles" localSheetId="4">'факт. на 01.07. с примеч (2)'!$5:$5</definedName>
  </definedNames>
  <calcPr calcId="124519"/>
</workbook>
</file>

<file path=xl/calcChain.xml><?xml version="1.0" encoding="utf-8"?>
<calcChain xmlns="http://schemas.openxmlformats.org/spreadsheetml/2006/main">
  <c r="F90" i="63"/>
  <c r="E90"/>
  <c r="F89"/>
  <c r="E89"/>
  <c r="F88"/>
  <c r="E88"/>
  <c r="F87"/>
  <c r="E87"/>
  <c r="D86"/>
  <c r="C86"/>
  <c r="E86" s="1"/>
  <c r="F85"/>
  <c r="E85"/>
  <c r="F84"/>
  <c r="E84"/>
  <c r="F83"/>
  <c r="E83"/>
  <c r="F82"/>
  <c r="E82"/>
  <c r="F81"/>
  <c r="E81"/>
  <c r="F80"/>
  <c r="E80"/>
  <c r="F79"/>
  <c r="E79"/>
  <c r="F78"/>
  <c r="E78"/>
  <c r="F77"/>
  <c r="E77"/>
  <c r="D76"/>
  <c r="C76"/>
  <c r="E76" s="1"/>
  <c r="F75"/>
  <c r="E75"/>
  <c r="F74"/>
  <c r="E74"/>
  <c r="F73"/>
  <c r="E73"/>
  <c r="E72"/>
  <c r="F72"/>
  <c r="F71"/>
  <c r="F70"/>
  <c r="E70"/>
  <c r="E69"/>
  <c r="D69"/>
  <c r="F69" s="1"/>
  <c r="F68"/>
  <c r="E68"/>
  <c r="F67"/>
  <c r="E67"/>
  <c r="D66"/>
  <c r="F65"/>
  <c r="E65"/>
  <c r="F64"/>
  <c r="E64"/>
  <c r="D63"/>
  <c r="E63" s="1"/>
  <c r="F62"/>
  <c r="E62"/>
  <c r="D61"/>
  <c r="F61" s="1"/>
  <c r="F60"/>
  <c r="E60"/>
  <c r="C59"/>
  <c r="F58"/>
  <c r="E58"/>
  <c r="F57"/>
  <c r="E57"/>
  <c r="F56"/>
  <c r="E56"/>
  <c r="F55"/>
  <c r="E55"/>
  <c r="E54"/>
  <c r="F53"/>
  <c r="E53"/>
  <c r="F52"/>
  <c r="E52"/>
  <c r="E51"/>
  <c r="D51"/>
  <c r="F51" s="1"/>
  <c r="F50"/>
  <c r="E50"/>
  <c r="F49"/>
  <c r="E49"/>
  <c r="F48"/>
  <c r="E48"/>
  <c r="F47"/>
  <c r="E47"/>
  <c r="D46"/>
  <c r="E45"/>
  <c r="F44"/>
  <c r="E44"/>
  <c r="F43"/>
  <c r="E43"/>
  <c r="F42"/>
  <c r="E42"/>
  <c r="F41"/>
  <c r="E41"/>
  <c r="F40"/>
  <c r="E40"/>
  <c r="E39"/>
  <c r="D39"/>
  <c r="F39" s="1"/>
  <c r="F38"/>
  <c r="E38"/>
  <c r="D37"/>
  <c r="E37" s="1"/>
  <c r="C37"/>
  <c r="E36"/>
  <c r="F35"/>
  <c r="E35"/>
  <c r="F34"/>
  <c r="E34"/>
  <c r="F33"/>
  <c r="F32"/>
  <c r="E32"/>
  <c r="F31"/>
  <c r="E31"/>
  <c r="F30"/>
  <c r="E30"/>
  <c r="F29"/>
  <c r="E29"/>
  <c r="F28"/>
  <c r="F27"/>
  <c r="E27"/>
  <c r="F26"/>
  <c r="E26"/>
  <c r="F25"/>
  <c r="E25"/>
  <c r="F24"/>
  <c r="E24"/>
  <c r="F23"/>
  <c r="E23"/>
  <c r="F22"/>
  <c r="E22"/>
  <c r="F21"/>
  <c r="E21"/>
  <c r="F20"/>
  <c r="E20"/>
  <c r="F19"/>
  <c r="E19"/>
  <c r="F18"/>
  <c r="E18"/>
  <c r="F17"/>
  <c r="E17"/>
  <c r="C16"/>
  <c r="F15"/>
  <c r="E15"/>
  <c r="E14"/>
  <c r="F14"/>
  <c r="F13"/>
  <c r="E13"/>
  <c r="F12"/>
  <c r="E12"/>
  <c r="F11"/>
  <c r="E11"/>
  <c r="F10"/>
  <c r="E10"/>
  <c r="E9"/>
  <c r="C8"/>
  <c r="D59" l="1"/>
  <c r="F59" s="1"/>
  <c r="E61"/>
  <c r="F63"/>
  <c r="F76"/>
  <c r="F86"/>
  <c r="F9"/>
  <c r="F36"/>
  <c r="F37"/>
  <c r="F54"/>
  <c r="D8"/>
  <c r="D16"/>
  <c r="C46"/>
  <c r="F46" s="1"/>
  <c r="E59"/>
  <c r="C66"/>
  <c r="E66" s="1"/>
  <c r="E71"/>
  <c r="E46" l="1"/>
  <c r="E16"/>
  <c r="F16"/>
  <c r="E8"/>
  <c r="D91"/>
  <c r="F8"/>
  <c r="D7"/>
  <c r="C7"/>
  <c r="F66"/>
  <c r="C91"/>
  <c r="F7" l="1"/>
  <c r="E7"/>
  <c r="E91"/>
  <c r="F91"/>
  <c r="E65" i="40" l="1"/>
  <c r="D55"/>
  <c r="F66"/>
  <c r="D32"/>
  <c r="D31"/>
  <c r="D26"/>
  <c r="D25"/>
  <c r="D24"/>
  <c r="D17" s="1"/>
  <c r="E92"/>
  <c r="E91"/>
  <c r="F88"/>
  <c r="E88"/>
  <c r="F87"/>
  <c r="E87"/>
  <c r="F86"/>
  <c r="E86"/>
  <c r="F85"/>
  <c r="E85"/>
  <c r="F84"/>
  <c r="E84"/>
  <c r="F83"/>
  <c r="E83"/>
  <c r="F82"/>
  <c r="E82"/>
  <c r="F81"/>
  <c r="E81"/>
  <c r="F80"/>
  <c r="E80"/>
  <c r="D78"/>
  <c r="C78"/>
  <c r="E76"/>
  <c r="E75"/>
  <c r="C75"/>
  <c r="F75" s="1"/>
  <c r="C74"/>
  <c r="E74" s="1"/>
  <c r="C73"/>
  <c r="F73" s="1"/>
  <c r="C72"/>
  <c r="C71"/>
  <c r="E71" s="1"/>
  <c r="E70"/>
  <c r="C70"/>
  <c r="F70" s="1"/>
  <c r="D69"/>
  <c r="E68"/>
  <c r="D67"/>
  <c r="F64"/>
  <c r="E64"/>
  <c r="C63"/>
  <c r="E62"/>
  <c r="E61"/>
  <c r="E60"/>
  <c r="E59"/>
  <c r="E58"/>
  <c r="C58"/>
  <c r="F58" s="1"/>
  <c r="C57"/>
  <c r="E57" s="1"/>
  <c r="C56"/>
  <c r="F56" s="1"/>
  <c r="E55"/>
  <c r="F54"/>
  <c r="E54"/>
  <c r="F53"/>
  <c r="E53"/>
  <c r="F52"/>
  <c r="E52"/>
  <c r="F51"/>
  <c r="E51"/>
  <c r="C50"/>
  <c r="C42"/>
  <c r="F42" s="1"/>
  <c r="F41"/>
  <c r="E41"/>
  <c r="F40"/>
  <c r="E40"/>
  <c r="F39"/>
  <c r="E39"/>
  <c r="F38"/>
  <c r="E38"/>
  <c r="D37"/>
  <c r="C37"/>
  <c r="F36"/>
  <c r="E36"/>
  <c r="E35"/>
  <c r="F34"/>
  <c r="E34"/>
  <c r="F33"/>
  <c r="E33"/>
  <c r="F32"/>
  <c r="E32"/>
  <c r="F31"/>
  <c r="E31"/>
  <c r="F30"/>
  <c r="E30"/>
  <c r="E29"/>
  <c r="E28"/>
  <c r="F28"/>
  <c r="F27"/>
  <c r="E27"/>
  <c r="F26"/>
  <c r="E26"/>
  <c r="F25"/>
  <c r="E25"/>
  <c r="F24"/>
  <c r="E24"/>
  <c r="F23"/>
  <c r="E23"/>
  <c r="F22"/>
  <c r="E22"/>
  <c r="F21"/>
  <c r="E21"/>
  <c r="F20"/>
  <c r="E20"/>
  <c r="F19"/>
  <c r="E19"/>
  <c r="F18"/>
  <c r="E18"/>
  <c r="C17"/>
  <c r="F14"/>
  <c r="E14"/>
  <c r="D14"/>
  <c r="F13"/>
  <c r="E13"/>
  <c r="F12"/>
  <c r="E12"/>
  <c r="F11"/>
  <c r="E11"/>
  <c r="F10"/>
  <c r="E10"/>
  <c r="F9"/>
  <c r="E9"/>
  <c r="F8"/>
  <c r="E8"/>
  <c r="D7"/>
  <c r="E7" s="1"/>
  <c r="C7"/>
  <c r="D66" i="38"/>
  <c r="E37" i="40" l="1"/>
  <c r="E42"/>
  <c r="E56"/>
  <c r="E66"/>
  <c r="E72"/>
  <c r="E73"/>
  <c r="E78"/>
  <c r="D63"/>
  <c r="F63" s="1"/>
  <c r="E50"/>
  <c r="F7"/>
  <c r="F29"/>
  <c r="F35"/>
  <c r="F37"/>
  <c r="F55"/>
  <c r="F57"/>
  <c r="F71"/>
  <c r="F72"/>
  <c r="F74"/>
  <c r="F78"/>
  <c r="D50"/>
  <c r="F50" s="1"/>
  <c r="C69"/>
  <c r="C93" s="1"/>
  <c r="D14" i="38"/>
  <c r="D28"/>
  <c r="D29"/>
  <c r="D35"/>
  <c r="D34"/>
  <c r="D24"/>
  <c r="D32"/>
  <c r="D31"/>
  <c r="D26"/>
  <c r="D25"/>
  <c r="D15" i="25"/>
  <c r="C17" i="38"/>
  <c r="D7"/>
  <c r="F7" s="1"/>
  <c r="C7"/>
  <c r="E93"/>
  <c r="E92"/>
  <c r="F89"/>
  <c r="E89"/>
  <c r="F88"/>
  <c r="E88"/>
  <c r="F87"/>
  <c r="E87"/>
  <c r="F86"/>
  <c r="E86"/>
  <c r="F85"/>
  <c r="E85"/>
  <c r="F84"/>
  <c r="E84"/>
  <c r="F83"/>
  <c r="E83"/>
  <c r="F82"/>
  <c r="E82"/>
  <c r="F81"/>
  <c r="E81"/>
  <c r="D79"/>
  <c r="E79" s="1"/>
  <c r="C79"/>
  <c r="E77"/>
  <c r="E76"/>
  <c r="C76"/>
  <c r="F76" s="1"/>
  <c r="F75"/>
  <c r="C75"/>
  <c r="E75" s="1"/>
  <c r="E74"/>
  <c r="C74"/>
  <c r="F74" s="1"/>
  <c r="D73"/>
  <c r="E73" s="1"/>
  <c r="C73"/>
  <c r="C72"/>
  <c r="E72" s="1"/>
  <c r="E71"/>
  <c r="C71"/>
  <c r="F71" s="1"/>
  <c r="D70"/>
  <c r="E69"/>
  <c r="E68"/>
  <c r="D67"/>
  <c r="D63" s="1"/>
  <c r="D94" s="1"/>
  <c r="E66"/>
  <c r="F66"/>
  <c r="E65"/>
  <c r="F64"/>
  <c r="E64"/>
  <c r="C63"/>
  <c r="E62"/>
  <c r="E61"/>
  <c r="E60"/>
  <c r="E59"/>
  <c r="E58"/>
  <c r="C58"/>
  <c r="F58" s="1"/>
  <c r="C57"/>
  <c r="E57" s="1"/>
  <c r="E56"/>
  <c r="C56"/>
  <c r="F56" s="1"/>
  <c r="F55"/>
  <c r="D55"/>
  <c r="E55" s="1"/>
  <c r="F54"/>
  <c r="E54"/>
  <c r="F53"/>
  <c r="E53"/>
  <c r="F52"/>
  <c r="E52"/>
  <c r="E50" s="1"/>
  <c r="F51"/>
  <c r="E51"/>
  <c r="C50"/>
  <c r="E42"/>
  <c r="C42"/>
  <c r="F41"/>
  <c r="E41"/>
  <c r="F40"/>
  <c r="E40"/>
  <c r="F39"/>
  <c r="E39"/>
  <c r="F38"/>
  <c r="E38"/>
  <c r="D37"/>
  <c r="E37" s="1"/>
  <c r="C37"/>
  <c r="F36"/>
  <c r="E36"/>
  <c r="F35"/>
  <c r="E35"/>
  <c r="F34"/>
  <c r="E34"/>
  <c r="F33"/>
  <c r="E33"/>
  <c r="F32"/>
  <c r="E32"/>
  <c r="F31"/>
  <c r="E31"/>
  <c r="F30"/>
  <c r="E30"/>
  <c r="F29"/>
  <c r="E29"/>
  <c r="F28"/>
  <c r="E28"/>
  <c r="F27"/>
  <c r="E27"/>
  <c r="F26"/>
  <c r="E26"/>
  <c r="F25"/>
  <c r="E25"/>
  <c r="F24"/>
  <c r="E24"/>
  <c r="F23"/>
  <c r="E23"/>
  <c r="F22"/>
  <c r="E22"/>
  <c r="F21"/>
  <c r="E21"/>
  <c r="F20"/>
  <c r="E20"/>
  <c r="F19"/>
  <c r="E19"/>
  <c r="F18"/>
  <c r="E18"/>
  <c r="F14"/>
  <c r="E14"/>
  <c r="F13"/>
  <c r="E13"/>
  <c r="E12"/>
  <c r="F12"/>
  <c r="F11"/>
  <c r="E11"/>
  <c r="F10"/>
  <c r="E10"/>
  <c r="F9"/>
  <c r="E9"/>
  <c r="F8"/>
  <c r="E8"/>
  <c r="E68" i="37"/>
  <c r="E63" i="40" l="1"/>
  <c r="F69"/>
  <c r="E69"/>
  <c r="D93"/>
  <c r="D17" i="38"/>
  <c r="E7"/>
  <c r="F63"/>
  <c r="E63"/>
  <c r="F42"/>
  <c r="F37"/>
  <c r="F57"/>
  <c r="F72"/>
  <c r="F73"/>
  <c r="F79"/>
  <c r="D50"/>
  <c r="F50" s="1"/>
  <c r="C70"/>
  <c r="C94" s="1"/>
  <c r="D66" i="37"/>
  <c r="F34"/>
  <c r="E34"/>
  <c r="F29"/>
  <c r="F30"/>
  <c r="E29"/>
  <c r="E30"/>
  <c r="F26"/>
  <c r="E26"/>
  <c r="F25"/>
  <c r="E25"/>
  <c r="E8"/>
  <c r="F13"/>
  <c r="E13"/>
  <c r="E14"/>
  <c r="F19"/>
  <c r="E19"/>
  <c r="F24"/>
  <c r="E36"/>
  <c r="F36"/>
  <c r="F35"/>
  <c r="E35"/>
  <c r="E28"/>
  <c r="F28"/>
  <c r="F27"/>
  <c r="E27"/>
  <c r="E20"/>
  <c r="F20"/>
  <c r="E21"/>
  <c r="F21"/>
  <c r="E22"/>
  <c r="F22"/>
  <c r="E23"/>
  <c r="F23"/>
  <c r="F18"/>
  <c r="E18"/>
  <c r="F33"/>
  <c r="E33"/>
  <c r="F32"/>
  <c r="E32"/>
  <c r="F31"/>
  <c r="E31"/>
  <c r="E24"/>
  <c r="E17"/>
  <c r="E93"/>
  <c r="E92"/>
  <c r="F89"/>
  <c r="E89"/>
  <c r="F88"/>
  <c r="E88"/>
  <c r="F87"/>
  <c r="E87"/>
  <c r="F86"/>
  <c r="E86"/>
  <c r="F85"/>
  <c r="E85"/>
  <c r="F84"/>
  <c r="E84"/>
  <c r="F83"/>
  <c r="E83"/>
  <c r="F82"/>
  <c r="E82"/>
  <c r="F81"/>
  <c r="E81"/>
  <c r="D79"/>
  <c r="E79" s="1"/>
  <c r="C79"/>
  <c r="E77"/>
  <c r="C76"/>
  <c r="F76" s="1"/>
  <c r="C75"/>
  <c r="E75" s="1"/>
  <c r="C74"/>
  <c r="F74" s="1"/>
  <c r="D73"/>
  <c r="E73" s="1"/>
  <c r="C73"/>
  <c r="C72"/>
  <c r="E72" s="1"/>
  <c r="C71"/>
  <c r="F71" s="1"/>
  <c r="D70"/>
  <c r="E69"/>
  <c r="D67"/>
  <c r="E66"/>
  <c r="E65"/>
  <c r="F64"/>
  <c r="E64"/>
  <c r="C63"/>
  <c r="E62"/>
  <c r="E61"/>
  <c r="E60"/>
  <c r="E59"/>
  <c r="C58"/>
  <c r="E58" s="1"/>
  <c r="C57"/>
  <c r="F57" s="1"/>
  <c r="C56"/>
  <c r="E56" s="1"/>
  <c r="D55"/>
  <c r="F55" s="1"/>
  <c r="F54"/>
  <c r="E54"/>
  <c r="F53"/>
  <c r="E53"/>
  <c r="F52"/>
  <c r="E52"/>
  <c r="F51"/>
  <c r="E51"/>
  <c r="D49"/>
  <c r="D42"/>
  <c r="C42"/>
  <c r="C37" s="1"/>
  <c r="F41"/>
  <c r="E41"/>
  <c r="F40"/>
  <c r="E40"/>
  <c r="F39"/>
  <c r="E39"/>
  <c r="F38"/>
  <c r="E38"/>
  <c r="F14"/>
  <c r="D12"/>
  <c r="E12" s="1"/>
  <c r="F11"/>
  <c r="E11"/>
  <c r="F10"/>
  <c r="E10"/>
  <c r="F9"/>
  <c r="E9"/>
  <c r="F8"/>
  <c r="E41" i="25"/>
  <c r="E40"/>
  <c r="E39"/>
  <c r="E38"/>
  <c r="D5"/>
  <c r="D34"/>
  <c r="D42"/>
  <c r="E71"/>
  <c r="E93" i="40" l="1"/>
  <c r="F93"/>
  <c r="E94" i="38"/>
  <c r="F94"/>
  <c r="F70"/>
  <c r="E70"/>
  <c r="D63" i="37"/>
  <c r="D94" s="1"/>
  <c r="F42"/>
  <c r="D50"/>
  <c r="E42"/>
  <c r="E63"/>
  <c r="E55"/>
  <c r="E76"/>
  <c r="D37"/>
  <c r="F37" s="1"/>
  <c r="E57"/>
  <c r="E50" s="1"/>
  <c r="E71"/>
  <c r="F73"/>
  <c r="E74"/>
  <c r="F12"/>
  <c r="F56"/>
  <c r="F58"/>
  <c r="F66"/>
  <c r="F72"/>
  <c r="F75"/>
  <c r="F79"/>
  <c r="C50"/>
  <c r="C70"/>
  <c r="E70" s="1"/>
  <c r="F63" l="1"/>
  <c r="F50"/>
  <c r="F70"/>
  <c r="E37"/>
  <c r="D6"/>
  <c r="C94"/>
  <c r="E48" i="25"/>
  <c r="D45"/>
  <c r="D58"/>
  <c r="E72"/>
  <c r="C58"/>
  <c r="E68"/>
  <c r="F67"/>
  <c r="E66"/>
  <c r="E65"/>
  <c r="F65"/>
  <c r="E64"/>
  <c r="F63"/>
  <c r="E62"/>
  <c r="E61"/>
  <c r="F61"/>
  <c r="F60"/>
  <c r="E60"/>
  <c r="E94" i="37" l="1"/>
  <c r="E6" s="1"/>
  <c r="C6"/>
  <c r="F94"/>
  <c r="F6" s="1"/>
  <c r="E63" i="25"/>
  <c r="E67"/>
  <c r="F62"/>
  <c r="F64"/>
  <c r="F66"/>
  <c r="F68"/>
  <c r="E6" l="1"/>
  <c r="F6"/>
  <c r="E7"/>
  <c r="F7"/>
  <c r="E8"/>
  <c r="F8"/>
  <c r="E9"/>
  <c r="F9"/>
  <c r="E10"/>
  <c r="F10"/>
  <c r="E11"/>
  <c r="F11"/>
  <c r="D12"/>
  <c r="E12" s="1"/>
  <c r="F34"/>
  <c r="F12" l="1"/>
  <c r="E44"/>
  <c r="E43"/>
  <c r="E33"/>
  <c r="E34"/>
  <c r="E32"/>
  <c r="E31"/>
  <c r="E30"/>
  <c r="C42"/>
  <c r="F20"/>
  <c r="E20"/>
  <c r="D16"/>
  <c r="D46"/>
  <c r="E45" l="1"/>
  <c r="E42"/>
  <c r="D4" i="22"/>
  <c r="F4" s="1"/>
  <c r="D47"/>
  <c r="C45"/>
  <c r="C44"/>
  <c r="C43"/>
  <c r="D45"/>
  <c r="D44"/>
  <c r="D43"/>
  <c r="D49"/>
  <c r="C47"/>
  <c r="E46"/>
  <c r="D46"/>
  <c r="D42"/>
  <c r="C46"/>
  <c r="C55" i="25"/>
  <c r="C54"/>
  <c r="C53"/>
  <c r="D52"/>
  <c r="D49" s="1"/>
  <c r="C52"/>
  <c r="C51"/>
  <c r="C50"/>
  <c r="F45"/>
  <c r="F43"/>
  <c r="C37"/>
  <c r="C36"/>
  <c r="C35"/>
  <c r="F33"/>
  <c r="F32"/>
  <c r="F31"/>
  <c r="F30"/>
  <c r="D29"/>
  <c r="C21"/>
  <c r="F21" s="1"/>
  <c r="F19"/>
  <c r="F18"/>
  <c r="E18"/>
  <c r="F17"/>
  <c r="E17"/>
  <c r="C16"/>
  <c r="F5"/>
  <c r="E5"/>
  <c r="D31" i="22"/>
  <c r="D10"/>
  <c r="C49"/>
  <c r="C42"/>
  <c r="F42"/>
  <c r="E42"/>
  <c r="F41"/>
  <c r="E41"/>
  <c r="F49"/>
  <c r="E49"/>
  <c r="F45"/>
  <c r="E45"/>
  <c r="F44"/>
  <c r="E44"/>
  <c r="F43"/>
  <c r="E43"/>
  <c r="F46"/>
  <c r="F47"/>
  <c r="E47"/>
  <c r="D48"/>
  <c r="F48" s="1"/>
  <c r="D30"/>
  <c r="C29" i="25" l="1"/>
  <c r="F50"/>
  <c r="C49"/>
  <c r="E49" s="1"/>
  <c r="F58"/>
  <c r="C73"/>
  <c r="F35"/>
  <c r="E35"/>
  <c r="F36"/>
  <c r="E36"/>
  <c r="F37"/>
  <c r="E37"/>
  <c r="F51"/>
  <c r="E51"/>
  <c r="F53"/>
  <c r="E53"/>
  <c r="F54"/>
  <c r="E54"/>
  <c r="F55"/>
  <c r="E55"/>
  <c r="E52"/>
  <c r="F16"/>
  <c r="F29"/>
  <c r="F42"/>
  <c r="F52"/>
  <c r="E4" i="22"/>
  <c r="E15" i="25"/>
  <c r="F15"/>
  <c r="E16"/>
  <c r="E19"/>
  <c r="E21"/>
  <c r="E50"/>
  <c r="D39" i="22"/>
  <c r="E48"/>
  <c r="D35"/>
  <c r="D5"/>
  <c r="E58" i="25" l="1"/>
  <c r="F49"/>
  <c r="D73"/>
  <c r="F73" s="1"/>
  <c r="E29"/>
  <c r="F39" i="22"/>
  <c r="E39"/>
  <c r="C38"/>
  <c r="F38" s="1"/>
  <c r="C37"/>
  <c r="F37" s="1"/>
  <c r="C36"/>
  <c r="F36" s="1"/>
  <c r="C35"/>
  <c r="F35" s="1"/>
  <c r="C34"/>
  <c r="C33"/>
  <c r="D32"/>
  <c r="C32"/>
  <c r="E32" s="1"/>
  <c r="F31"/>
  <c r="F30"/>
  <c r="E30"/>
  <c r="F29"/>
  <c r="E29"/>
  <c r="D28"/>
  <c r="C28"/>
  <c r="E28" s="1"/>
  <c r="C27"/>
  <c r="F27" s="1"/>
  <c r="C26"/>
  <c r="F26" s="1"/>
  <c r="C25"/>
  <c r="F25" s="1"/>
  <c r="F24"/>
  <c r="E24"/>
  <c r="F23"/>
  <c r="E23"/>
  <c r="F22"/>
  <c r="E22"/>
  <c r="F21"/>
  <c r="E21"/>
  <c r="F20"/>
  <c r="E20"/>
  <c r="D19"/>
  <c r="C19"/>
  <c r="C16"/>
  <c r="F10"/>
  <c r="E10"/>
  <c r="F8"/>
  <c r="E8"/>
  <c r="F7"/>
  <c r="E7"/>
  <c r="D6"/>
  <c r="C6"/>
  <c r="C53" s="1"/>
  <c r="D53"/>
  <c r="F53" s="1"/>
  <c r="E73" i="25" l="1"/>
  <c r="F34" i="22"/>
  <c r="E34"/>
  <c r="E35"/>
  <c r="F6"/>
  <c r="F19"/>
  <c r="F28"/>
  <c r="F32"/>
  <c r="E53"/>
  <c r="E5"/>
  <c r="F5"/>
  <c r="E6"/>
  <c r="E16"/>
  <c r="F16"/>
  <c r="E25"/>
  <c r="E26"/>
  <c r="E27"/>
  <c r="E31"/>
  <c r="E33"/>
  <c r="F33"/>
  <c r="E36"/>
  <c r="E37"/>
  <c r="E38"/>
  <c r="E19" l="1"/>
  <c r="E6" i="16" l="1"/>
  <c r="I26"/>
  <c r="G26"/>
  <c r="G25"/>
  <c r="H25" s="1"/>
  <c r="G24"/>
  <c r="G23"/>
  <c r="G22"/>
  <c r="G21"/>
  <c r="G20"/>
  <c r="G19"/>
  <c r="I24"/>
  <c r="I23"/>
  <c r="I22"/>
  <c r="I25"/>
  <c r="H19"/>
  <c r="I19"/>
  <c r="H26"/>
  <c r="G27"/>
  <c r="H27" s="1"/>
  <c r="I27"/>
  <c r="E16"/>
  <c r="E17"/>
  <c r="H24"/>
  <c r="H23"/>
  <c r="H22"/>
  <c r="F17"/>
  <c r="F16"/>
  <c r="E8"/>
  <c r="F8" s="1"/>
  <c r="H21"/>
  <c r="I21"/>
  <c r="H20"/>
  <c r="E18"/>
  <c r="F18" s="1"/>
  <c r="I18"/>
  <c r="I16"/>
  <c r="E15"/>
  <c r="F15" s="1"/>
  <c r="F6"/>
  <c r="E12"/>
  <c r="F12" s="1"/>
  <c r="E14"/>
  <c r="F14" s="1"/>
  <c r="I14"/>
  <c r="I12"/>
  <c r="I8"/>
  <c r="I17"/>
  <c r="I15"/>
  <c r="I20"/>
  <c r="I6"/>
  <c r="C11"/>
  <c r="D10"/>
  <c r="C10"/>
  <c r="D9"/>
  <c r="C9"/>
  <c r="D8"/>
  <c r="C8"/>
  <c r="D7"/>
  <c r="C7"/>
  <c r="D6"/>
  <c r="D29" s="1"/>
  <c r="C6"/>
  <c r="B11" i="15"/>
  <c r="B10"/>
  <c r="B20" s="1"/>
  <c r="B9"/>
  <c r="B12" s="1"/>
  <c r="K8" i="14"/>
  <c r="K9"/>
  <c r="K10"/>
  <c r="K11"/>
  <c r="K12"/>
  <c r="K13"/>
  <c r="K14"/>
  <c r="K15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1"/>
  <c r="K52"/>
  <c r="K53"/>
  <c r="K54"/>
  <c r="K55"/>
  <c r="K56"/>
  <c r="K58"/>
  <c r="K59"/>
  <c r="K60"/>
  <c r="K61"/>
  <c r="K62"/>
  <c r="K63"/>
  <c r="K64"/>
  <c r="K65"/>
  <c r="K66"/>
  <c r="K68"/>
  <c r="K69"/>
  <c r="K71"/>
  <c r="K72"/>
  <c r="K73"/>
  <c r="K76"/>
  <c r="K77"/>
  <c r="K78"/>
  <c r="K79"/>
  <c r="K80"/>
  <c r="K81"/>
  <c r="K82"/>
  <c r="K83"/>
  <c r="K85"/>
  <c r="D70"/>
  <c r="G7" l="1"/>
  <c r="F29" i="16"/>
  <c r="F31" s="1"/>
  <c r="H29"/>
  <c r="H31" s="1"/>
  <c r="B19" i="15"/>
  <c r="B21" s="1"/>
  <c r="B23" s="1"/>
  <c r="E101" i="7"/>
  <c r="D99"/>
  <c r="C14"/>
  <c r="C15"/>
  <c r="C16"/>
  <c r="C17"/>
  <c r="C18"/>
  <c r="C19"/>
  <c r="C20"/>
  <c r="C21"/>
  <c r="C22"/>
  <c r="C23"/>
  <c r="C24"/>
  <c r="C25"/>
  <c r="C42"/>
  <c r="C43"/>
  <c r="C44"/>
  <c r="C45"/>
  <c r="C46"/>
  <c r="C47"/>
  <c r="C48"/>
  <c r="C49"/>
  <c r="C50"/>
  <c r="C53"/>
  <c r="F66"/>
  <c r="C66" s="1"/>
  <c r="F65"/>
  <c r="C65" s="1"/>
  <c r="E62"/>
  <c r="C62" s="1"/>
  <c r="E61"/>
  <c r="C61" s="1"/>
  <c r="E60"/>
  <c r="C60" s="1"/>
  <c r="G84" i="14" l="1"/>
  <c r="I91"/>
  <c r="F91"/>
  <c r="C91"/>
  <c r="L90"/>
  <c r="L89"/>
  <c r="I86"/>
  <c r="I92" s="1"/>
  <c r="F86"/>
  <c r="F92" s="1"/>
  <c r="L85"/>
  <c r="D85"/>
  <c r="M85" s="1"/>
  <c r="N85" s="1"/>
  <c r="L84"/>
  <c r="D84"/>
  <c r="M83"/>
  <c r="L83"/>
  <c r="M82"/>
  <c r="L82"/>
  <c r="M81"/>
  <c r="L81"/>
  <c r="E81"/>
  <c r="L80"/>
  <c r="D80"/>
  <c r="M80" s="1"/>
  <c r="N80" s="1"/>
  <c r="L79"/>
  <c r="D79"/>
  <c r="M79" s="1"/>
  <c r="N79" s="1"/>
  <c r="L78"/>
  <c r="D78"/>
  <c r="M78" s="1"/>
  <c r="N78" s="1"/>
  <c r="L77"/>
  <c r="D77"/>
  <c r="M77" s="1"/>
  <c r="N77" s="1"/>
  <c r="L76"/>
  <c r="D76"/>
  <c r="M76" s="1"/>
  <c r="N76" s="1"/>
  <c r="D75"/>
  <c r="C75"/>
  <c r="L75" s="1"/>
  <c r="L73"/>
  <c r="E73"/>
  <c r="D73"/>
  <c r="M73" s="1"/>
  <c r="N73" s="1"/>
  <c r="L72"/>
  <c r="E72"/>
  <c r="D72"/>
  <c r="M72" s="1"/>
  <c r="N72" s="1"/>
  <c r="L71"/>
  <c r="E71"/>
  <c r="D71"/>
  <c r="M71" s="1"/>
  <c r="N71" s="1"/>
  <c r="L69"/>
  <c r="D69"/>
  <c r="M69" s="1"/>
  <c r="N69" s="1"/>
  <c r="L68"/>
  <c r="D68"/>
  <c r="M68" s="1"/>
  <c r="N68" s="1"/>
  <c r="C67"/>
  <c r="L67" s="1"/>
  <c r="L66"/>
  <c r="D66"/>
  <c r="M66" s="1"/>
  <c r="N66" s="1"/>
  <c r="L65"/>
  <c r="D65"/>
  <c r="M65" s="1"/>
  <c r="N65" s="1"/>
  <c r="L64"/>
  <c r="D64"/>
  <c r="M64" s="1"/>
  <c r="N64" s="1"/>
  <c r="L63"/>
  <c r="D63"/>
  <c r="M63" s="1"/>
  <c r="N63" s="1"/>
  <c r="L62"/>
  <c r="D62"/>
  <c r="M62" s="1"/>
  <c r="N62" s="1"/>
  <c r="L61"/>
  <c r="D61"/>
  <c r="M61" s="1"/>
  <c r="N61" s="1"/>
  <c r="L60"/>
  <c r="D60"/>
  <c r="M60" s="1"/>
  <c r="N60" s="1"/>
  <c r="L59"/>
  <c r="D59"/>
  <c r="M59" s="1"/>
  <c r="N59" s="1"/>
  <c r="L58"/>
  <c r="D58"/>
  <c r="M58" s="1"/>
  <c r="N58" s="1"/>
  <c r="C57"/>
  <c r="L57" s="1"/>
  <c r="L56"/>
  <c r="D56"/>
  <c r="M56" s="1"/>
  <c r="N56" s="1"/>
  <c r="L55"/>
  <c r="D55"/>
  <c r="M55" s="1"/>
  <c r="N55" s="1"/>
  <c r="M54"/>
  <c r="L54"/>
  <c r="E54"/>
  <c r="L53"/>
  <c r="D53"/>
  <c r="M53" s="1"/>
  <c r="N53" s="1"/>
  <c r="L52"/>
  <c r="D52"/>
  <c r="M52" s="1"/>
  <c r="N52" s="1"/>
  <c r="D51"/>
  <c r="M51" s="1"/>
  <c r="C51"/>
  <c r="L51" s="1"/>
  <c r="C50"/>
  <c r="L50" s="1"/>
  <c r="M49"/>
  <c r="L49"/>
  <c r="E49"/>
  <c r="M48"/>
  <c r="L48"/>
  <c r="E48"/>
  <c r="M47"/>
  <c r="L47"/>
  <c r="E47"/>
  <c r="M46"/>
  <c r="L46"/>
  <c r="E46"/>
  <c r="M45"/>
  <c r="L45"/>
  <c r="E45"/>
  <c r="M44"/>
  <c r="L44"/>
  <c r="E44"/>
  <c r="M43"/>
  <c r="L43"/>
  <c r="E43"/>
  <c r="M42"/>
  <c r="L42"/>
  <c r="E42"/>
  <c r="M41"/>
  <c r="L41"/>
  <c r="E41"/>
  <c r="L40"/>
  <c r="D40"/>
  <c r="M40" s="1"/>
  <c r="N40" s="1"/>
  <c r="M39"/>
  <c r="L39"/>
  <c r="E39"/>
  <c r="M38"/>
  <c r="L38"/>
  <c r="E38"/>
  <c r="M37"/>
  <c r="L37"/>
  <c r="E37"/>
  <c r="M36"/>
  <c r="L36"/>
  <c r="E36"/>
  <c r="L35"/>
  <c r="D35"/>
  <c r="M35" s="1"/>
  <c r="N35" s="1"/>
  <c r="M34"/>
  <c r="L34"/>
  <c r="E34"/>
  <c r="M33"/>
  <c r="L33"/>
  <c r="E33"/>
  <c r="L32"/>
  <c r="D32"/>
  <c r="M32" s="1"/>
  <c r="N32" s="1"/>
  <c r="L31"/>
  <c r="D31"/>
  <c r="M31" s="1"/>
  <c r="N31" s="1"/>
  <c r="M30"/>
  <c r="L30"/>
  <c r="E30"/>
  <c r="M29"/>
  <c r="L29"/>
  <c r="E29"/>
  <c r="L28"/>
  <c r="D28"/>
  <c r="M28" s="1"/>
  <c r="N28" s="1"/>
  <c r="M27"/>
  <c r="L27"/>
  <c r="E27"/>
  <c r="M26"/>
  <c r="L26"/>
  <c r="E26"/>
  <c r="M25"/>
  <c r="L25"/>
  <c r="E25"/>
  <c r="M24"/>
  <c r="L24"/>
  <c r="E24"/>
  <c r="M23"/>
  <c r="L23"/>
  <c r="E23"/>
  <c r="M22"/>
  <c r="L22"/>
  <c r="E22"/>
  <c r="M21"/>
  <c r="L21"/>
  <c r="E21"/>
  <c r="M20"/>
  <c r="L20"/>
  <c r="E20"/>
  <c r="M19"/>
  <c r="L19"/>
  <c r="E19"/>
  <c r="L18"/>
  <c r="D18"/>
  <c r="M18" s="1"/>
  <c r="N18" s="1"/>
  <c r="L17"/>
  <c r="D17"/>
  <c r="M17" s="1"/>
  <c r="N17" s="1"/>
  <c r="C16"/>
  <c r="L16" s="1"/>
  <c r="M15"/>
  <c r="L15"/>
  <c r="H15"/>
  <c r="M14"/>
  <c r="L14"/>
  <c r="H14"/>
  <c r="E14"/>
  <c r="M13"/>
  <c r="L13"/>
  <c r="H13"/>
  <c r="M12"/>
  <c r="L12"/>
  <c r="H12"/>
  <c r="E12"/>
  <c r="M11"/>
  <c r="L11"/>
  <c r="H11"/>
  <c r="M10"/>
  <c r="L10"/>
  <c r="H10"/>
  <c r="E10"/>
  <c r="M9"/>
  <c r="L9"/>
  <c r="H9"/>
  <c r="M8"/>
  <c r="L8"/>
  <c r="H8"/>
  <c r="E8"/>
  <c r="C7"/>
  <c r="C86" s="1"/>
  <c r="C92" s="1"/>
  <c r="N8" l="1"/>
  <c r="N9"/>
  <c r="N10"/>
  <c r="N11"/>
  <c r="N12"/>
  <c r="N13"/>
  <c r="N14"/>
  <c r="N15"/>
  <c r="N19"/>
  <c r="N20"/>
  <c r="N21"/>
  <c r="N22"/>
  <c r="N23"/>
  <c r="N24"/>
  <c r="N25"/>
  <c r="N26"/>
  <c r="N27"/>
  <c r="N29"/>
  <c r="N30"/>
  <c r="N33"/>
  <c r="N34"/>
  <c r="N36"/>
  <c r="N37"/>
  <c r="N38"/>
  <c r="N39"/>
  <c r="N41"/>
  <c r="N42"/>
  <c r="N43"/>
  <c r="N44"/>
  <c r="N45"/>
  <c r="N46"/>
  <c r="N47"/>
  <c r="N48"/>
  <c r="N49"/>
  <c r="N54"/>
  <c r="N81"/>
  <c r="N82"/>
  <c r="N83"/>
  <c r="I94"/>
  <c r="N51"/>
  <c r="L7"/>
  <c r="L86" s="1"/>
  <c r="E17"/>
  <c r="E18"/>
  <c r="E28"/>
  <c r="E31"/>
  <c r="E32"/>
  <c r="E35"/>
  <c r="E40"/>
  <c r="E51"/>
  <c r="E52"/>
  <c r="E53"/>
  <c r="E55"/>
  <c r="E56"/>
  <c r="E58"/>
  <c r="E59"/>
  <c r="E60"/>
  <c r="E61"/>
  <c r="E62"/>
  <c r="E63"/>
  <c r="E64"/>
  <c r="E65"/>
  <c r="E66"/>
  <c r="E68"/>
  <c r="E69"/>
  <c r="E70"/>
  <c r="E75"/>
  <c r="E76"/>
  <c r="E77"/>
  <c r="E78"/>
  <c r="E79"/>
  <c r="E80"/>
  <c r="E84"/>
  <c r="E85"/>
  <c r="L91"/>
  <c r="C94"/>
  <c r="F94"/>
  <c r="L94" l="1"/>
  <c r="C67" i="7" l="1"/>
  <c r="C68"/>
  <c r="C69"/>
  <c r="C70"/>
  <c r="C71"/>
  <c r="C72"/>
  <c r="C73"/>
  <c r="F96"/>
  <c r="F94" s="1"/>
  <c r="F98"/>
  <c r="C98" s="1"/>
  <c r="E97"/>
  <c r="C97" s="1"/>
  <c r="E64"/>
  <c r="C64" s="1"/>
  <c r="G70" i="14"/>
  <c r="E79" i="7"/>
  <c r="C79" s="1"/>
  <c r="F84"/>
  <c r="E84"/>
  <c r="F81"/>
  <c r="F78"/>
  <c r="E78"/>
  <c r="D57"/>
  <c r="C57" s="1"/>
  <c r="E96"/>
  <c r="D96"/>
  <c r="D95"/>
  <c r="C95" s="1"/>
  <c r="C110"/>
  <c r="C111"/>
  <c r="C112"/>
  <c r="C113"/>
  <c r="C114"/>
  <c r="C115"/>
  <c r="C116"/>
  <c r="C117"/>
  <c r="C118"/>
  <c r="C119"/>
  <c r="C139"/>
  <c r="F142"/>
  <c r="F143"/>
  <c r="F135"/>
  <c r="F134"/>
  <c r="F133"/>
  <c r="F132"/>
  <c r="F131"/>
  <c r="F130"/>
  <c r="E141"/>
  <c r="C141" s="1"/>
  <c r="E140"/>
  <c r="E143"/>
  <c r="E134"/>
  <c r="E133"/>
  <c r="E132"/>
  <c r="E131"/>
  <c r="C131" s="1"/>
  <c r="E130"/>
  <c r="E129" s="1"/>
  <c r="D143"/>
  <c r="C143" s="1"/>
  <c r="D142"/>
  <c r="C142" s="1"/>
  <c r="D140"/>
  <c r="C140" s="1"/>
  <c r="D138"/>
  <c r="C138" s="1"/>
  <c r="D137"/>
  <c r="C137" s="1"/>
  <c r="D136"/>
  <c r="C136" s="1"/>
  <c r="D135"/>
  <c r="C135" s="1"/>
  <c r="D134"/>
  <c r="C134" s="1"/>
  <c r="D133"/>
  <c r="C133" s="1"/>
  <c r="D132"/>
  <c r="C132" s="1"/>
  <c r="D130"/>
  <c r="C130" s="1"/>
  <c r="G67" i="14" l="1"/>
  <c r="C96" i="7"/>
  <c r="D74" i="14"/>
  <c r="D100" i="7"/>
  <c r="E63"/>
  <c r="C63" s="1"/>
  <c r="G50" i="14"/>
  <c r="H70"/>
  <c r="H86" s="1"/>
  <c r="M70"/>
  <c r="N70" s="1"/>
  <c r="D129" i="7"/>
  <c r="D67" i="14" l="1"/>
  <c r="E67" s="1"/>
  <c r="M74"/>
  <c r="N74" s="1"/>
  <c r="E74"/>
  <c r="F129" i="7"/>
  <c r="C129" s="1"/>
  <c r="F93"/>
  <c r="C93" s="1"/>
  <c r="E90"/>
  <c r="C90" s="1"/>
  <c r="E89"/>
  <c r="C89" s="1"/>
  <c r="D87"/>
  <c r="C87" s="1"/>
  <c r="D86"/>
  <c r="C86" s="1"/>
  <c r="D85"/>
  <c r="C85" s="1"/>
  <c r="D84"/>
  <c r="C84" s="1"/>
  <c r="D82"/>
  <c r="C82" s="1"/>
  <c r="D81"/>
  <c r="C81" s="1"/>
  <c r="D80"/>
  <c r="C80" s="1"/>
  <c r="D78"/>
  <c r="C78" s="1"/>
  <c r="D77"/>
  <c r="C77" s="1"/>
  <c r="D59"/>
  <c r="D58"/>
  <c r="F92" l="1"/>
  <c r="C92" s="1"/>
  <c r="F91"/>
  <c r="C91" s="1"/>
  <c r="E94"/>
  <c r="D15" i="9" s="1"/>
  <c r="E88" i="7"/>
  <c r="C88" s="1"/>
  <c r="J75" i="14"/>
  <c r="K75" s="1"/>
  <c r="J50"/>
  <c r="K50" s="1"/>
  <c r="G75"/>
  <c r="F107" i="7"/>
  <c r="F128"/>
  <c r="C128" s="1"/>
  <c r="F127"/>
  <c r="C127" s="1"/>
  <c r="F126"/>
  <c r="C126" s="1"/>
  <c r="F125"/>
  <c r="C125" s="1"/>
  <c r="F124"/>
  <c r="C124" s="1"/>
  <c r="F123"/>
  <c r="C123" s="1"/>
  <c r="F105"/>
  <c r="C105" s="1"/>
  <c r="F122"/>
  <c r="C122" s="1"/>
  <c r="E121"/>
  <c r="C121" s="1"/>
  <c r="E120"/>
  <c r="C120" s="1"/>
  <c r="E109"/>
  <c r="E107"/>
  <c r="E104"/>
  <c r="C104" s="1"/>
  <c r="E103"/>
  <c r="E106"/>
  <c r="D109"/>
  <c r="C109" s="1"/>
  <c r="D108"/>
  <c r="C108" s="1"/>
  <c r="D103"/>
  <c r="C103" s="1"/>
  <c r="D107"/>
  <c r="C107" s="1"/>
  <c r="D106"/>
  <c r="C106" s="1"/>
  <c r="F83"/>
  <c r="F76"/>
  <c r="F75"/>
  <c r="E76"/>
  <c r="E75"/>
  <c r="D83"/>
  <c r="D76"/>
  <c r="C76" s="1"/>
  <c r="D75"/>
  <c r="C75" s="1"/>
  <c r="C58"/>
  <c r="C59"/>
  <c r="D56"/>
  <c r="C56" s="1"/>
  <c r="F11" i="9"/>
  <c r="F38" i="7"/>
  <c r="C38" s="1"/>
  <c r="F39"/>
  <c r="C39" s="1"/>
  <c r="F40"/>
  <c r="C40" s="1"/>
  <c r="F41"/>
  <c r="C41" s="1"/>
  <c r="F37"/>
  <c r="E31"/>
  <c r="C31" s="1"/>
  <c r="E32"/>
  <c r="C32" s="1"/>
  <c r="E33"/>
  <c r="C33" s="1"/>
  <c r="E34"/>
  <c r="C34" s="1"/>
  <c r="E35"/>
  <c r="C35" s="1"/>
  <c r="E36"/>
  <c r="C36" s="1"/>
  <c r="E30"/>
  <c r="D27"/>
  <c r="C27" s="1"/>
  <c r="D28"/>
  <c r="C28" s="1"/>
  <c r="D29"/>
  <c r="C29" s="1"/>
  <c r="D26"/>
  <c r="H76" i="3"/>
  <c r="H73"/>
  <c r="H62"/>
  <c r="H58"/>
  <c r="H49"/>
  <c r="H44"/>
  <c r="F52" i="7" s="1"/>
  <c r="F51" s="1"/>
  <c r="E12" i="9" s="1"/>
  <c r="H18" i="3"/>
  <c r="H77" s="1"/>
  <c r="H11"/>
  <c r="H73" i="2"/>
  <c r="H64"/>
  <c r="H60"/>
  <c r="H49"/>
  <c r="H42"/>
  <c r="E52" i="7" s="1"/>
  <c r="E51" s="1"/>
  <c r="D12" i="9" s="1"/>
  <c r="H20" i="2"/>
  <c r="H77" s="1"/>
  <c r="H11"/>
  <c r="F12" i="9"/>
  <c r="F16"/>
  <c r="E102" i="7"/>
  <c r="D16" i="9" s="1"/>
  <c r="E15"/>
  <c r="F15"/>
  <c r="F14"/>
  <c r="E74" i="7"/>
  <c r="D14" i="9" s="1"/>
  <c r="F55" i="7"/>
  <c r="E55"/>
  <c r="D55"/>
  <c r="F74" l="1"/>
  <c r="E14" i="9" s="1"/>
  <c r="D57" i="14"/>
  <c r="E57" s="1"/>
  <c r="C83" i="7"/>
  <c r="G16" i="14"/>
  <c r="H16" s="1"/>
  <c r="G57"/>
  <c r="D50"/>
  <c r="E50" s="1"/>
  <c r="J67"/>
  <c r="K67" s="1"/>
  <c r="J16"/>
  <c r="K16" s="1"/>
  <c r="J84"/>
  <c r="K84" s="1"/>
  <c r="C55" i="7"/>
  <c r="D102"/>
  <c r="C16" i="9" s="1"/>
  <c r="D74" i="7"/>
  <c r="C74" s="1"/>
  <c r="D7" i="14"/>
  <c r="D52" i="7"/>
  <c r="C52" s="1"/>
  <c r="D16" i="14"/>
  <c r="E16" s="1"/>
  <c r="M67"/>
  <c r="N67" s="1"/>
  <c r="M75"/>
  <c r="N75" s="1"/>
  <c r="J7"/>
  <c r="K7" s="1"/>
  <c r="J57"/>
  <c r="K57" s="1"/>
  <c r="D13" i="7"/>
  <c r="C26"/>
  <c r="E13"/>
  <c r="D11" i="9" s="1"/>
  <c r="C30" i="7"/>
  <c r="F13"/>
  <c r="E11" i="9" s="1"/>
  <c r="C37" i="7"/>
  <c r="H7" i="14"/>
  <c r="D94" i="7"/>
  <c r="F17" i="9"/>
  <c r="E17"/>
  <c r="D17"/>
  <c r="C17"/>
  <c r="F102" i="7"/>
  <c r="E16" i="9" s="1"/>
  <c r="D54" i="7"/>
  <c r="E54"/>
  <c r="F54"/>
  <c r="G17" i="9" l="1"/>
  <c r="M84" i="14"/>
  <c r="N84" s="1"/>
  <c r="M50"/>
  <c r="N50" s="1"/>
  <c r="M57"/>
  <c r="N57" s="1"/>
  <c r="M7"/>
  <c r="N7" s="1"/>
  <c r="C14" i="9"/>
  <c r="G14" s="1"/>
  <c r="D51" i="7"/>
  <c r="C51" s="1"/>
  <c r="M16" i="14"/>
  <c r="N16" s="1"/>
  <c r="G16" i="9"/>
  <c r="E7" i="14"/>
  <c r="D86"/>
  <c r="J86"/>
  <c r="C11" i="9"/>
  <c r="G11" s="1"/>
  <c r="C13" i="7"/>
  <c r="C54"/>
  <c r="G86" i="14"/>
  <c r="C15" i="9"/>
  <c r="G15" s="1"/>
  <c r="C94" i="7"/>
  <c r="C102"/>
  <c r="F13" i="9"/>
  <c r="F18" s="1"/>
  <c r="F144" i="7"/>
  <c r="E13" i="9"/>
  <c r="E18" s="1"/>
  <c r="E12" i="7"/>
  <c r="D13" i="9"/>
  <c r="D18" s="1"/>
  <c r="D12" i="7"/>
  <c r="C13" i="9"/>
  <c r="E144" i="7"/>
  <c r="F12"/>
  <c r="C12" i="9" l="1"/>
  <c r="C18" s="1"/>
  <c r="G18" s="1"/>
  <c r="D144" i="7"/>
  <c r="E86" i="14"/>
  <c r="D94"/>
  <c r="J94"/>
  <c r="K86"/>
  <c r="C12" i="7"/>
  <c r="M86" i="14"/>
  <c r="G94"/>
  <c r="G13" i="9"/>
  <c r="C144" i="7"/>
  <c r="G12" i="9" l="1"/>
  <c r="M94" i="14"/>
  <c r="N86"/>
</calcChain>
</file>

<file path=xl/sharedStrings.xml><?xml version="1.0" encoding="utf-8"?>
<sst xmlns="http://schemas.openxmlformats.org/spreadsheetml/2006/main" count="2791" uniqueCount="980">
  <si>
    <t>№ п./п.</t>
  </si>
  <si>
    <t>Наименование мероприятий</t>
  </si>
  <si>
    <t>Приоритетность</t>
  </si>
  <si>
    <t>1.1</t>
  </si>
  <si>
    <t>1.2</t>
  </si>
  <si>
    <t>1.3</t>
  </si>
  <si>
    <t>1.4</t>
  </si>
  <si>
    <t>1.5</t>
  </si>
  <si>
    <t>1.6</t>
  </si>
  <si>
    <t>3</t>
  </si>
  <si>
    <t>Мебель</t>
  </si>
  <si>
    <t>5.1</t>
  </si>
  <si>
    <t>5.2</t>
  </si>
  <si>
    <t>Утверждаю</t>
  </si>
  <si>
    <t>"___" _______________2012 г.</t>
  </si>
  <si>
    <t>2013 год</t>
  </si>
  <si>
    <t>2014 год</t>
  </si>
  <si>
    <t>2015 год</t>
  </si>
  <si>
    <t>Общая сумма</t>
  </si>
  <si>
    <t>1.7</t>
  </si>
  <si>
    <t>Согласовано</t>
  </si>
  <si>
    <t>Председатель Правления</t>
  </si>
  <si>
    <t>АО "Астанаэнергосервис"</t>
  </si>
  <si>
    <t>________________ Е. Толеуов</t>
  </si>
  <si>
    <t>"___" ______________2011г.</t>
  </si>
  <si>
    <t>№ п/п</t>
  </si>
  <si>
    <t>Источник финансирования</t>
  </si>
  <si>
    <t>5.3</t>
  </si>
  <si>
    <t>5.4</t>
  </si>
  <si>
    <t>5.5</t>
  </si>
  <si>
    <t>5.6</t>
  </si>
  <si>
    <t>Приобретение прочих основных средств</t>
  </si>
  <si>
    <t>1.8</t>
  </si>
  <si>
    <t>_________________Жумабаев А.К.</t>
  </si>
  <si>
    <t>АО "Астана-Теплотранзит"</t>
  </si>
  <si>
    <t xml:space="preserve">Модернизация оборудования в Павильоне №3 ТМ-51 </t>
  </si>
  <si>
    <t>Повышение надежности теплоснабжения, снижение тепловых потерь, снижение расходов на аварийно-восстановительных работах тепловых сетей</t>
  </si>
  <si>
    <t>Апрель</t>
  </si>
  <si>
    <t>Собственные средства</t>
  </si>
  <si>
    <t xml:space="preserve">Модернизация оборудования в ТРП-2 </t>
  </si>
  <si>
    <t>Модернизация оборудования УТ-14  ТМ-24</t>
  </si>
  <si>
    <t>Всего по разделам инвестиционной программы АО "Астана-Теплотранзит"</t>
  </si>
  <si>
    <t>Раздел 1. Реконструкция, модернизация, строительство тепловых сетей</t>
  </si>
  <si>
    <t>Станочное оборудование</t>
  </si>
  <si>
    <t>Январь</t>
  </si>
  <si>
    <t>Июнь</t>
  </si>
  <si>
    <t>Сентябрь</t>
  </si>
  <si>
    <t>Март</t>
  </si>
  <si>
    <t>2.2.</t>
  </si>
  <si>
    <t>Замена тепломеханического оборудования насосных станций</t>
  </si>
  <si>
    <t>Виброметр СМ-21 в комплекте - 1 шт.</t>
  </si>
  <si>
    <t>Февраль</t>
  </si>
  <si>
    <t>Верстак двухтумбовый 01.205-3000/G ( тумба с дверцей и тумба с 5 ящиками, 1900*686*845мм) - 6 шт.</t>
  </si>
  <si>
    <t>Июль</t>
  </si>
  <si>
    <t>Автомастерская АРТК-М - 2 шт.</t>
  </si>
  <si>
    <t>Май</t>
  </si>
  <si>
    <t>Август</t>
  </si>
  <si>
    <t>Самосвал, г/п 5 тонн - 1 шт.</t>
  </si>
  <si>
    <t>Декабрь</t>
  </si>
  <si>
    <t>Стол рабочий - 12 шт</t>
  </si>
  <si>
    <t>Стол компьютерный в комплекте - 20 шт.</t>
  </si>
  <si>
    <t>Шкаф для документов закрытый - 5 шт.</t>
  </si>
  <si>
    <t>Шкаф для одежды - 6 шт.</t>
  </si>
  <si>
    <t>Стол однотумбовый - 3 шт.</t>
  </si>
  <si>
    <t>Стол компьютерный - 1 шт.</t>
  </si>
  <si>
    <t>Стол для совешания 240*90*75 - 1 шт.</t>
  </si>
  <si>
    <t>Шкаф для документов с замком - 1 шт.</t>
  </si>
  <si>
    <t>Комплектация системных блоков</t>
  </si>
  <si>
    <t>Реконструкция тепловых сетей ( безхозных) 2Ду 32-300 мм принятых на баланс согласно решения суда от 07.12.11г.</t>
  </si>
  <si>
    <t>Итого по разделу 3</t>
  </si>
  <si>
    <t xml:space="preserve">ЖК монитор 19' </t>
  </si>
  <si>
    <t>Принтеры HP Color LaserJet А3</t>
  </si>
  <si>
    <t xml:space="preserve">Плоттер Color LaserJet </t>
  </si>
  <si>
    <t>Источники бесперебойного питания 500VA</t>
  </si>
  <si>
    <t>Источники бесперебойного питания APC UPS 800VA</t>
  </si>
  <si>
    <t>Информационная система управления производством</t>
  </si>
  <si>
    <t>Экскаватор1,03м3</t>
  </si>
  <si>
    <t>Трактор,МТЗ-82</t>
  </si>
  <si>
    <t>Легковой автомобиль  1 шт</t>
  </si>
  <si>
    <t>Оснащение производственных помещений</t>
  </si>
  <si>
    <t>Кондиционеры</t>
  </si>
  <si>
    <t>Начало освоения объекта (проведения работ), месяц, год</t>
  </si>
  <si>
    <t>Планируемое окончание освоения объекта (проведения работ), месяц, год</t>
  </si>
  <si>
    <t>Общая стоимость</t>
  </si>
  <si>
    <t>Направление (объекты) инвестиций</t>
  </si>
  <si>
    <t>Цель</t>
  </si>
  <si>
    <t>Модернизация оборудования в ТРП-2</t>
  </si>
  <si>
    <t>Итого по разделу 1</t>
  </si>
  <si>
    <t>Итого по разделу 2</t>
  </si>
  <si>
    <t>Сетевое оборудование Switch 24-port, 10/100/1000D-Link</t>
  </si>
  <si>
    <t>Информационная система управления производства</t>
  </si>
  <si>
    <t>Самосвал 13т-1 т</t>
  </si>
  <si>
    <t>Погашение арендуемой техники</t>
  </si>
  <si>
    <t>Прицепной вод.насос-1 шт</t>
  </si>
  <si>
    <t>Обновление трактора Т-40</t>
  </si>
  <si>
    <t>Итого по 7 разделам</t>
  </si>
  <si>
    <t>Модернизация программного обеспечения и внедрение новых технологий в производстве, расчет нагрузок,  дистанционное  обслуживание насосных станций</t>
  </si>
  <si>
    <t>Комплектация оргтехникой для оперативной работы пользователей</t>
  </si>
  <si>
    <t>Комплектация оргтехникой персональных компьютеров пользователей для бесперебойной  работы в сети напряжения</t>
  </si>
  <si>
    <t>Комплектация оргтехникой персональных компьютеров ОДС и передачи данных для бесперебойной  работы в сети напряжения</t>
  </si>
  <si>
    <t>Источники бесперебойного питания 2200VA  с двумя батарейками</t>
  </si>
  <si>
    <t>Комплектация оргтехникой компьютеров насосных станций для бесперебойной  работы в сети напряжения</t>
  </si>
  <si>
    <t>Замена устаревшего оборудования и приобретения дополнительных средств</t>
  </si>
  <si>
    <t>Контроль за гидравлическими режимами города</t>
  </si>
  <si>
    <t>АС-машина-1 шт</t>
  </si>
  <si>
    <t>Обновление парка Z 188 AO</t>
  </si>
  <si>
    <t>Обновление парка Z 579 AO</t>
  </si>
  <si>
    <t>Автовышка  АГП -22-1 шт</t>
  </si>
  <si>
    <t>Обновление парка Z 562 AO</t>
  </si>
  <si>
    <t>Тагяч-полуприцеп 12м-1 шт</t>
  </si>
  <si>
    <t>Обновление парка Z 263 AO</t>
  </si>
  <si>
    <t>Водоотливной насос-3 шт</t>
  </si>
  <si>
    <t>Обновление  устаревшего насоса</t>
  </si>
  <si>
    <t>Грузопасажирский ГАЗ-2705-1 шт</t>
  </si>
  <si>
    <t>Обновление парка Z 823 AO</t>
  </si>
  <si>
    <t>Автоманипулятор 6 тн-1 шт</t>
  </si>
  <si>
    <t>Обновление парка Z 529 AO</t>
  </si>
  <si>
    <t>Фронтальный погрузчик 1,5 куб/м-1 шт</t>
  </si>
  <si>
    <t>Раздел 6.Приобретение прочих основных средств</t>
  </si>
  <si>
    <t>Раздел 3. Замена устаревшего и приобретение нового оборудования</t>
  </si>
  <si>
    <t>Мобильный компрессор А 111002  с прямым приводом - 1 шт.</t>
  </si>
  <si>
    <t>1.9</t>
  </si>
  <si>
    <t>1.14</t>
  </si>
  <si>
    <t>1.16</t>
  </si>
  <si>
    <t>1.19</t>
  </si>
  <si>
    <t xml:space="preserve">Раздел 4.  Приобретение оргтехники </t>
  </si>
  <si>
    <t>4.18</t>
  </si>
  <si>
    <t>Раздел 5. Приобретение приборов и систем</t>
  </si>
  <si>
    <t>Раздел 6. Приобретение транспорта и спецмеханизмов</t>
  </si>
  <si>
    <t>6.8</t>
  </si>
  <si>
    <t>6.16</t>
  </si>
  <si>
    <t>6.18</t>
  </si>
  <si>
    <t>6.19</t>
  </si>
  <si>
    <t>6.24</t>
  </si>
  <si>
    <t>Раздел 7. Приобретение прочих основных средств</t>
  </si>
  <si>
    <t>Обновление устаревшего насоса</t>
  </si>
  <si>
    <t>Комплектация оргтехникой для оперативной работы пользователей (печать схем теплотрасс для нужд производственного отдела и ОДС)</t>
  </si>
  <si>
    <t>Обеспечения контроля  качества продукции</t>
  </si>
  <si>
    <t>Обеспечение эксплуатацонных участков спецавтомобилями</t>
  </si>
  <si>
    <t>Итого  по разделу 6</t>
  </si>
  <si>
    <t>"___" ____________2012 г.</t>
  </si>
  <si>
    <t>4</t>
  </si>
  <si>
    <t>5</t>
  </si>
  <si>
    <t>6</t>
  </si>
  <si>
    <t>7</t>
  </si>
  <si>
    <t>1.10</t>
  </si>
  <si>
    <t>1.11</t>
  </si>
  <si>
    <t>1.12</t>
  </si>
  <si>
    <t>1.13</t>
  </si>
  <si>
    <t>1.15</t>
  </si>
  <si>
    <t>1.21</t>
  </si>
  <si>
    <t>1.22</t>
  </si>
  <si>
    <t>1.23</t>
  </si>
  <si>
    <t>1.24</t>
  </si>
  <si>
    <t>1.25</t>
  </si>
  <si>
    <t>3.1</t>
  </si>
  <si>
    <t>3.2</t>
  </si>
  <si>
    <t>3.3</t>
  </si>
  <si>
    <t>3.4</t>
  </si>
  <si>
    <t>3.5</t>
  </si>
  <si>
    <t>3.6</t>
  </si>
  <si>
    <t>3.7</t>
  </si>
  <si>
    <t>3.8</t>
  </si>
  <si>
    <t>3.9</t>
  </si>
  <si>
    <t>3.10</t>
  </si>
  <si>
    <t>3.11</t>
  </si>
  <si>
    <t>3.12</t>
  </si>
  <si>
    <t>3.13</t>
  </si>
  <si>
    <t>3.14</t>
  </si>
  <si>
    <t>______________Жумабаев А.К.</t>
  </si>
  <si>
    <t>1.17</t>
  </si>
  <si>
    <t>1.29</t>
  </si>
  <si>
    <t>1.31</t>
  </si>
  <si>
    <t>1.32</t>
  </si>
  <si>
    <t xml:space="preserve">Источники бесперебойного питания 500VA </t>
  </si>
  <si>
    <t>Источники бесперебойного питания 2200VA</t>
  </si>
  <si>
    <t>Трактор МТЗ-82</t>
  </si>
  <si>
    <t>Проектирование и строительство объекта "Здание АБК, приоизводственный корпус и гараж на 28 машин на территории НС № 1". I этап: Строительство здания АБК</t>
  </si>
  <si>
    <t>1.18</t>
  </si>
  <si>
    <t>1.20</t>
  </si>
  <si>
    <t>1.26</t>
  </si>
  <si>
    <t>1.27</t>
  </si>
  <si>
    <t>1.28</t>
  </si>
  <si>
    <t>1.30</t>
  </si>
  <si>
    <t>1.33</t>
  </si>
  <si>
    <t>Раздел 2. Реконструкция и строительство</t>
  </si>
  <si>
    <t>2.1</t>
  </si>
  <si>
    <t>2.2</t>
  </si>
  <si>
    <t xml:space="preserve">Всего по разделам </t>
  </si>
  <si>
    <t>Итого по разделу 7</t>
  </si>
  <si>
    <t xml:space="preserve">Модернизация оборудования УТ-7(33) </t>
  </si>
  <si>
    <t>Реконструкция дренажной линии НС №5 Ду 150 мм на перекачивающую дренажно-опрессовочную линию с увеличением на Ду 300 мм.</t>
  </si>
  <si>
    <t>Погружной насос VXCm 15/50220-240B/50HZ - 1 шт.</t>
  </si>
  <si>
    <t>Погружной насос VXCm 30/50 3 HРV380-415/50 HZ 10m - 1 шт.</t>
  </si>
  <si>
    <t>Электрогенератор Perfom 4500 SDMO - 1 шт.</t>
  </si>
  <si>
    <t>4.1</t>
  </si>
  <si>
    <t>4.2</t>
  </si>
  <si>
    <t>4.3</t>
  </si>
  <si>
    <t>4.4</t>
  </si>
  <si>
    <t>4.5</t>
  </si>
  <si>
    <t>Автокран 16 т - 1 шт.</t>
  </si>
  <si>
    <t>6.1</t>
  </si>
  <si>
    <t>6.2</t>
  </si>
  <si>
    <t>6.3</t>
  </si>
  <si>
    <t>6.4</t>
  </si>
  <si>
    <t>6.5</t>
  </si>
  <si>
    <t>6.6</t>
  </si>
  <si>
    <t>6.7</t>
  </si>
  <si>
    <t>6.9</t>
  </si>
  <si>
    <t>6.10</t>
  </si>
  <si>
    <t>6.11</t>
  </si>
  <si>
    <t>6.12</t>
  </si>
  <si>
    <t>6.13</t>
  </si>
  <si>
    <t>6.14</t>
  </si>
  <si>
    <t>6.15</t>
  </si>
  <si>
    <t>6.17</t>
  </si>
  <si>
    <t>6.20</t>
  </si>
  <si>
    <t>6.21</t>
  </si>
  <si>
    <t>6.22</t>
  </si>
  <si>
    <t>6.23</t>
  </si>
  <si>
    <t>Раздел 1. Реконструкция, модернизация тепловых сетей</t>
  </si>
  <si>
    <t>2.3</t>
  </si>
  <si>
    <t>2.4</t>
  </si>
  <si>
    <t>2.5</t>
  </si>
  <si>
    <t>2.6</t>
  </si>
  <si>
    <t>2.7</t>
  </si>
  <si>
    <t>2.8</t>
  </si>
  <si>
    <t>2.9</t>
  </si>
  <si>
    <t>2.10</t>
  </si>
  <si>
    <t>2.11</t>
  </si>
  <si>
    <t>2.12</t>
  </si>
  <si>
    <t>2.13</t>
  </si>
  <si>
    <t>2.14</t>
  </si>
  <si>
    <t>2.15</t>
  </si>
  <si>
    <t>2.16</t>
  </si>
  <si>
    <t>2.17</t>
  </si>
  <si>
    <t>2.18</t>
  </si>
  <si>
    <t>2.19</t>
  </si>
  <si>
    <t>2.20</t>
  </si>
  <si>
    <t>2.21</t>
  </si>
  <si>
    <t>2.22</t>
  </si>
  <si>
    <t>2.23</t>
  </si>
  <si>
    <t>2.24</t>
  </si>
  <si>
    <t>Эл. двигатель А4-400-Х6УЗ - 1 шт., эл. двигатель А4-450-Х6УЗ - 1 шт.</t>
  </si>
  <si>
    <t>Системный блок 3,00GHz  с операционной системой и программным обеспечением,  (Windows XP и выше (Professionals), Office 2007 и выше (Professionals), клавиатура, мышь.</t>
  </si>
  <si>
    <t>Принтер лазерный цветной,  Формат А4, скорость черно-белой печати до 12 стр./мин., (цветной до 8 стр./мин.)</t>
  </si>
  <si>
    <t>4.6</t>
  </si>
  <si>
    <t>4.7</t>
  </si>
  <si>
    <t>4.8</t>
  </si>
  <si>
    <t>4.9</t>
  </si>
  <si>
    <t>Итого по разделу 4</t>
  </si>
  <si>
    <t xml:space="preserve">Раздел 5. Приобретение приборов и систем </t>
  </si>
  <si>
    <t>УСПД (контрольная точка) - 10 комп.</t>
  </si>
  <si>
    <t>Итого по разделу 5</t>
  </si>
  <si>
    <t xml:space="preserve">Передвижная автомастерская АРТК-М (база ГАЗ-3307) – 2 шт. </t>
  </si>
  <si>
    <t>Экскаватор 1,03м3 - 1 шт.</t>
  </si>
  <si>
    <t>Трактор МТЗ-82 - 2 шт.</t>
  </si>
  <si>
    <t>Легковой  автомобиль 4*4 - 1 шт.</t>
  </si>
  <si>
    <t>Легковой  автомобиль 4*4 ВАЗ-21214 - 2 шт.</t>
  </si>
  <si>
    <t>7.1</t>
  </si>
  <si>
    <t>7.2</t>
  </si>
  <si>
    <t>7.3</t>
  </si>
  <si>
    <t>7.4</t>
  </si>
  <si>
    <t>7.5</t>
  </si>
  <si>
    <t>7.6</t>
  </si>
  <si>
    <t>7.7</t>
  </si>
  <si>
    <t>7.8</t>
  </si>
  <si>
    <t>7.9</t>
  </si>
  <si>
    <t>7.10</t>
  </si>
  <si>
    <t>7.11</t>
  </si>
  <si>
    <t>тыс. тенге без НДС</t>
  </si>
  <si>
    <t>Замена задвижек на шаровых кранах</t>
  </si>
  <si>
    <t>Октябрь 2013 г.</t>
  </si>
  <si>
    <t>Сентябрь 2014 г.</t>
  </si>
  <si>
    <t>2.3.</t>
  </si>
  <si>
    <t>2.4.</t>
  </si>
  <si>
    <t>2.5.</t>
  </si>
  <si>
    <t>2.6.</t>
  </si>
  <si>
    <t>2.7.</t>
  </si>
  <si>
    <t>2.8.</t>
  </si>
  <si>
    <t>2.9.</t>
  </si>
  <si>
    <t>2.10.</t>
  </si>
  <si>
    <t>2.11.</t>
  </si>
  <si>
    <t>2.12.</t>
  </si>
  <si>
    <t>Частотный распределительный преобразователь - 2 шт., кабель - 200 м, контактор - 2 шт., шкаф для контактора - 2 шт., выключатель - 2 шт.</t>
  </si>
  <si>
    <t>Дополнение в автоматизации насосной станции для эфективного управления регулирования гидравлических параметров,экономии электроэнергии в отопительный сезон</t>
  </si>
  <si>
    <t>Сетевой насос Д-2500/62 - 1 шт.</t>
  </si>
  <si>
    <t>Модернизация оборудования насосных станций, монтаж насоса смешивания для улучшения гидравлических параметров</t>
  </si>
  <si>
    <t>Эл. привод АУМА Ду 500 мм - 2 шт.</t>
  </si>
  <si>
    <t xml:space="preserve">Модернизация оборудования насосных станций </t>
  </si>
  <si>
    <t>Полуавтоматический сварочный аппарат - 2 шт., генератор - 2 шт., радикально-сверлин. станок - 1 шт., токарный станок - 1 шт.</t>
  </si>
  <si>
    <t>Производство ремонтных работ</t>
  </si>
  <si>
    <t>Системный блок 3,00GHz  с операционной системой и программным обеспечением, Windows XP и выше (Professionals), Office 2007 и выше (Professionals), клавиатура, мышь</t>
  </si>
  <si>
    <t>ЖК монитор 19</t>
  </si>
  <si>
    <t>Принтер лазерный цветной,  формат А4, скорость черно-белой печати до 12 стр./мин. (цветной до 8 стр./мин.)</t>
  </si>
  <si>
    <t>Стенд для настройки и калибровки измерительных приборов</t>
  </si>
  <si>
    <t>Испытание, калибровка и настройка датчиков давления и измерительных каналов контролеров всех типов</t>
  </si>
  <si>
    <t>Самосвал 13 т - 1 шт.</t>
  </si>
  <si>
    <t>Прицепной водооткачивающий насос - 1 шт.</t>
  </si>
  <si>
    <t>Взамен  КС -2568 г.н Z 592 АY</t>
  </si>
  <si>
    <t>Трактор, МТЗ-82 - 2 шт.</t>
  </si>
  <si>
    <t>Экскаватор 0,30м3 - 1 шт.</t>
  </si>
  <si>
    <t>Взамен а/м ВАЗ 2121 Z 935 AY</t>
  </si>
  <si>
    <t>Модернизация оборудования ТРП-2, ш.кр. Ду 800 мм - 5 шт.</t>
  </si>
  <si>
    <t>Октябрь 2014 г.</t>
  </si>
  <si>
    <t>Сентябрь 2015 г.</t>
  </si>
  <si>
    <t>Автоматизация насосной станции №8, 9 (Частотный распределительный преобразователь -3  шт., кабель - 300 м, контактор - 3 шт., шкаф для контактора - 3 шт, выключатель - 3 шт.)</t>
  </si>
  <si>
    <t>Дополнение в автоматизации насосной станции для эфективного управления гидравлических параметров,экономии электроэнергии в отопительный сезон</t>
  </si>
  <si>
    <t>Ручной сварочный экструдер - 2 шт., заточный станок - 1 шт.</t>
  </si>
  <si>
    <t>Для монтажа муфтовых соединений ППУ изоляции</t>
  </si>
  <si>
    <t>Принтер лазерный, формат А4, тип печати: черно-белая, кол-во страниц в месяц: 5000</t>
  </si>
  <si>
    <t>Информация система управления производством</t>
  </si>
  <si>
    <t>Обеспечение контроля качества продукции</t>
  </si>
  <si>
    <t>Комплект базового и переносного оборудования связи Kenwood</t>
  </si>
  <si>
    <t>Контроль за гидравлическими</t>
  </si>
  <si>
    <t>АС-машина - 1 шт.</t>
  </si>
  <si>
    <t>Самосвал 5т - 1 шт.</t>
  </si>
  <si>
    <t>Автовышка  АГП-22 - 1 шт.</t>
  </si>
  <si>
    <t>Тагяч-полуприцеп 12м - 1 шт.</t>
  </si>
  <si>
    <t>Водоотливной насос - 3 шт.</t>
  </si>
  <si>
    <t>Грузопасажирский ГАЗ-2705 - 1 шт.</t>
  </si>
  <si>
    <t>Автоманипулятор 6 т - 1 шт.</t>
  </si>
  <si>
    <t>Фронтальный погрузчик 1,5м3 - 1 шт.</t>
  </si>
  <si>
    <t>1.34</t>
  </si>
  <si>
    <t>1.35</t>
  </si>
  <si>
    <t>1.36</t>
  </si>
  <si>
    <t>1.37</t>
  </si>
  <si>
    <t>Легковой автомобиль 4*4 -  1 шт</t>
  </si>
  <si>
    <t>4.10</t>
  </si>
  <si>
    <t>4.11</t>
  </si>
  <si>
    <t>4.12</t>
  </si>
  <si>
    <t>4.13</t>
  </si>
  <si>
    <t>4.14</t>
  </si>
  <si>
    <t>4.15</t>
  </si>
  <si>
    <t>4.16</t>
  </si>
  <si>
    <t>4.17</t>
  </si>
  <si>
    <t>6.25</t>
  </si>
  <si>
    <t>6.26</t>
  </si>
  <si>
    <t>Инвестиционная программа АО "Астана-Теплотранзит" на 2012-2016 гг.</t>
  </si>
  <si>
    <t>Наименование разделов</t>
  </si>
  <si>
    <t>Сумма инвестиционных вложений по годам, тыс. тенге</t>
  </si>
  <si>
    <t>2013 г.</t>
  </si>
  <si>
    <t>2014 г.</t>
  </si>
  <si>
    <t>2015 г.</t>
  </si>
  <si>
    <t>2016 г.</t>
  </si>
  <si>
    <t>Итого</t>
  </si>
  <si>
    <t>Реконструкция, модернизация тепловых сетей</t>
  </si>
  <si>
    <t>Реконструкция тепловых сетей (безхозяйных) 2Ду 32-300 мм принятых на баланс согласно решению суда от 07.12.11 г.</t>
  </si>
  <si>
    <t>Замена устаревшего и приобретение нового оборудования</t>
  </si>
  <si>
    <t>Приобретение оргтехники</t>
  </si>
  <si>
    <t>Приобретение приборов и систем</t>
  </si>
  <si>
    <t>Приобретение транспорта и спецмеханизмов</t>
  </si>
  <si>
    <t>Всего:</t>
  </si>
  <si>
    <t xml:space="preserve">Инвестиционная программа АО "Астана-Теплотранзит" на 2014 год </t>
  </si>
  <si>
    <t xml:space="preserve">Инвестиционная программа АО "Астана-Теплотранзит" на 2015 год </t>
  </si>
  <si>
    <t>_________________Е. Тулеуов</t>
  </si>
  <si>
    <t>Начальник  финансово -экономической  службы                                                               Казарян Е.А.</t>
  </si>
  <si>
    <t xml:space="preserve">              Начальник  финансово -экономической  службы                                                         Казарян Е.А.         </t>
  </si>
  <si>
    <t xml:space="preserve">Начальник  финансово-экономической  службы                                                                              Казарян Е.А.           </t>
  </si>
  <si>
    <t>И.о. начальника  производственно-технической  службы                                                      Лымарев Д.С.</t>
  </si>
  <si>
    <t>И.о. начальника  производственно-технической  службы                                                  Лымарев Д.С.</t>
  </si>
  <si>
    <t>Реконструкция теплотрассы 2Ду 150 мм по ул. Есенберлина 14,16,18,20 от УТ-15(2) до задвижки по ул. Алтынсарина (подземная прокладка в ППУ-ПЭ-изоляции). Ду76 мм (ППУ)-34,5 м.п. трассы (69 м.п. тубы), Ду80 мм (ППУ) - 21,5 м.п. трассы (43 м.п. трубы), Ду150 мм (ППУ)- 36 м.п. трассы (72 м.п. трубы)</t>
  </si>
  <si>
    <t>Реконструкция теплотрассы 2Ду 50-20 мм по ул. Гастелло, протяженостью 246 м.п. трассы (492 м.п. трубы)</t>
  </si>
  <si>
    <t>Реконструкция теплотрассы  ТМ-26 , 2Ду 400 мм ППУ замена  участка, от УТ-12 до УТ-14, протяженностью 75 м.п. трассы (150 м.п. трубы)</t>
  </si>
  <si>
    <t>Проектирование и реконструкция ТМ-6-2Ду 800 мм, от УТ-34 до УТ-35, протяженность 329 м.п. трассы (658 м.п. трубы)</t>
  </si>
  <si>
    <t>Проектирование и реконструкция ТМ-6 на участке от УТ-19 до пр.Абая -129 м.п. трассы (258 м.п. трубы)</t>
  </si>
  <si>
    <t>Проектирование и реконструкция теплотрассы 2Ду150 по ул.Конституции 14  перемычка 925 м.п. трассы (1850 м.п. трубы)</t>
  </si>
  <si>
    <t>Реконструкция теплотрассы 2Ду50-150 мм по ул. Куйши Дина 28 (Ж.К."Кайнар) 72 м.п. трассы(144 м.п. трубы)</t>
  </si>
  <si>
    <t>Реконструкция теплотрассы 2Ду 150  по  пр. Тауельсыздык в районе дома 14/2  117 м.п. трассы (234 м.п. трубы)</t>
  </si>
  <si>
    <t>Проектирование и реконструкция теплотрассы 2Ду 150 по ул.Джангильдина 26, протяженность -176,5 м.п. трассы (353 м.п. трубы)</t>
  </si>
  <si>
    <t>Проектирование и реконструкция теплотрассы 2Ду 400 по  ул Жансугурова 2, протяженность 47,5 м.п. трассы (95 м.п. трубы)</t>
  </si>
  <si>
    <t>Реконструкция  теплотрассы к АО "Астана-Теплотранзит" 2Ду 250/150 мм, протяженность 1009 м.п. трассы (2018 м.п. трубы)</t>
  </si>
  <si>
    <t>Проектирование и реконструкция теплотрассы 2Ду 150мм по ул.Пушкина 5,7,9, протяженость 403,5 м.п. трассы (807 м.п. трубы)</t>
  </si>
  <si>
    <t>Проектирование и реконструкция теплотрассы  2 Ду 200/150/100 к СШ №3, протяженность 404,5 м.п. трассы (809 м.п. трубы)</t>
  </si>
  <si>
    <t>Реконструкция тепломагистрали ТМ-1  Ду 1000 мм Т2, протяженность 370 м.п. трассы (740 п.м. трубы)</t>
  </si>
  <si>
    <t>Проектирование и реконструкция тепломагистрали ТМ-8  2Ду 400/300 мм , протяженость 535,5 м.п трассы (1071 м.п. трубы)</t>
  </si>
  <si>
    <t>Проектирование   и реконструкция теплотрассы 2Ду 250 мм, по ул Бараева,4 протяженность 175 м.п. трассы (350 м.п. трубы)</t>
  </si>
  <si>
    <t>Проектирование и  строительство теплотрассы  между ТМ-11 и ТМ 12, 2Ду 400 мм, протяженность 1026 м.п. трассы (2052 м.п. трубы)</t>
  </si>
  <si>
    <t>Модернизация  оборудования ТРП-2, ш.кр.  Ду 800 мм - 5 шт.</t>
  </si>
  <si>
    <t>Реконструкция тепломагистрали ТМ-1 Ду 1000 мм Т2, протяженность 505,5 м.п. трассы (1011 м.п. трубы)</t>
  </si>
  <si>
    <t>Проектирование и  реконструкция ТМ-6, 2Ду 800 мм, от УТ-35 до УТ-36, протяженность 202,5 м.п. трассы (405 м.п. трубы)</t>
  </si>
  <si>
    <t>Проектирование и реконструкция ТМ-26, (переход пр.Абая) 2Ду 400мм, от УТ-12 до УТ-13, протяженность 100 м.п. трассы (200 м.п. трубы)</t>
  </si>
  <si>
    <t>Проектирование и реконструкция ТМ-21,2Ду 500мм,от  УТ-7 (21) до НО-7(21), протяженность 555 м.п. трассы (1110  м.п. трубы)</t>
  </si>
  <si>
    <t>Проектирование и реконструкция  теплотрассы 2Ду 300 мм,от  перехода в р/оне д.7 ул.Затаевича до  перехода в р/оне д.10 ул.Потанина, протяженность 722 м.п. трассы (1444 м.п. трубы)</t>
  </si>
  <si>
    <t xml:space="preserve"> Проектирование и реконструкция теплотрассы 2Ду 400мм,по ул Кирова,  от тк в р/оне д.7.до тк в р/не  5/1, протяженность 213 м.п. трассы (426 м.п. трубы)</t>
  </si>
  <si>
    <t>Реконструкция теплотрассы 2 Ду 125мм, по пр.Женис 67, протяженность 121 м.п. трассы (242 м.п. трубы)</t>
  </si>
  <si>
    <t xml:space="preserve"> Проектирование и реконструкция теплотрассы 2Ду 150/100мм,по ул Аспара1,протяженность 108/367 м.п. трассы (216/734 м.п. трубы)</t>
  </si>
  <si>
    <t xml:space="preserve"> Проектирование и реконструкция теплотрассы 2Ду 300/200/100мм,по ул Отырар 7, протяженность 160/151/28 м.п. трассы (320/302/56 м.п. трубы)</t>
  </si>
  <si>
    <t>Реконструкция теплотрассы 2 Ду 250 мм по ул Байтурсынова 8, протяженность 105/35 м.п. трассы (210/70 м.п. трубы)</t>
  </si>
  <si>
    <t>Проектирование и реконструкция ТМ-9 2Ду 400мм, протяженность  329 м.п. трассы (654 м.п. трубы)</t>
  </si>
  <si>
    <t>Проектирование и реконструкция теплотрассы 2Ду 400 мм по ул.Иманова 1 протяженость 201 м.п. трассы (402 м.п. трубы)</t>
  </si>
  <si>
    <t>Проектирование и реконструкция ТМ-8,2Ду 400мм,от УТ-18(5)до УТ-17 (6), протяженность 322 м.п. трассы (644 м.п. трубы)</t>
  </si>
  <si>
    <t>Реконструкция с учетом проектирования ТМ-6, 2Ду 800 мм, от УТ-35 до УТ-36, протяженность 202,5 м.п. трассы (405 п.м. трубы)</t>
  </si>
  <si>
    <t>Реконструкция с учетом проектирования теплотрассы 2Ду 250 мм , по ул. Бараева 4, протяженность 175 м.п. трассы (350 п.м. трубы)</t>
  </si>
  <si>
    <t>Строительство в том числе проектирование теплотрассы между ТМ-11 и Тм-12, 2Ду 400 мм, протяженность 1026 м.п. трассы (2052 п.м. трубы)</t>
  </si>
  <si>
    <t>Реконструкция тепломагистрали ТМ-1, Ду 1000 мм Т2, протяженность 505,5 м.п. трассы (1011 п.м. трубы)</t>
  </si>
  <si>
    <t>Реконструция теплотрассы к АО "Астана-Теплотранзит" 2Ду 250-150 мм, протяженность1009 м.п. трассы (2018 п.м. трубы)</t>
  </si>
  <si>
    <t>Реконструкция с учетом проектирования теплотрассы 2Ду 150-125-100-80-50 мм по ул. Пушкина 5, 7, 9, протяженность 403,5 м.п. трассы (807 п.м. трубы)</t>
  </si>
  <si>
    <t>Реконструкция с учетом проектирования теплотрассы 2Ду 200-150-100 мм к СШ №3, протяженность 404,5 м.п. трассы (809 п.м. трубы)</t>
  </si>
  <si>
    <t>Реконструкция с учетом проектирования теплотрассы 2Ду 400 мм по ул. Иманова 1, протяженность 201 м.п. трассы (402 м.п. трубы)</t>
  </si>
  <si>
    <t>Реконструкция теплотрассы  ТМ-1 1000 мм  Т2, протяженность 370 м.п. трассы (740 п.м. трубы)</t>
  </si>
  <si>
    <t>Реконструкция с учетом проектирования тепломагистрали ТМ-8 2Ду 400-300 мм, протяженность  535,5 м.п. трассы (1071 п.м.  трубы)</t>
  </si>
  <si>
    <t>Раздел 2. Реконструкция с учетом проектирования тепловых сетей (безхозяйных) 2Ду 32-300 мм принятых на баланс согласно решению суда от 07.12.11г.</t>
  </si>
  <si>
    <t>ул. Брусиловского  ж.д. 14/1 (60), 14/2 (62), 14/3 (64), Ду 50-80 мм, протяженность 203,25 м.п. трассы (406,5 п.м. трубы)</t>
  </si>
  <si>
    <t>ул. Сембинова 10/3 (36), Ду 80 мм, протяженность 11,3 м.п. трассы (22,6 п.м. трубы)</t>
  </si>
  <si>
    <t xml:space="preserve">пр. Республики  ж.д. 16 (12) (КСК "Космос"), Ду 80 мм, протяженность 14 м.п. трассы (28 п.м. трубы)                                                                              </t>
  </si>
  <si>
    <t>ул. Г.Алиева, Арасан, Ду 50-150 мм, протяженность 210,75 м.п. трассы (421,5 п.м. трубы)</t>
  </si>
  <si>
    <t>ул. Иманова 10, 10а (14, 16), Ду 70-150 мм, протяженность 136 м.п. трассы (272,1 п.м. трубы)</t>
  </si>
  <si>
    <t>ул. Иманова 12, 14 (18, 20), Ду 32-100 мм, протяженность 209,8 м.п. трассы (419,6 п.м. трубы)</t>
  </si>
  <si>
    <t>ул. Иманова 16, 18, 18а, б, д (22, 24, 26), Ду 32-150 мм, протяженность 164 м.п. трассы (328 п.м. трубы)</t>
  </si>
  <si>
    <t>пер Районный  от ул. Сейфуллина до ул. Ш.Жиенкулова, Ду 100-300 мм, протяженность 633,5 м.п. трассы (1267 п.м. трубы)</t>
  </si>
  <si>
    <t>м-он Молодежный ж.д. 15 (стар. 10а), Ду 50 мм, протяженность 4,75 м.п. трассы (9,5 п.м. трубы)</t>
  </si>
  <si>
    <t>ул. Жирентаева, 15/1 (ПК"ПиК") (м-он 4 ж.д. 21), Ду 70 мм, протяженность 12,25 м.п. трассы (24,5 п.м. трубы)</t>
  </si>
  <si>
    <t>Ж.д. по ул. Желтоксан 37, 37/1 (55, 55а), Ду 80-150 мм, протяженность 82 м.п. трассы (163,9 п.м. трубы)</t>
  </si>
  <si>
    <t>Общежитие по ул. Дукенулы 7, 7а (Дружба 3), Ду 70-80 мм, протяженность 42 м.п. трассы (84 п.м. трубы)</t>
  </si>
  <si>
    <t>Район 4 Жилые дома по ул. Ойыл (Квартальная №12, №13, №15, №16), Ду 50-300 мм, протяженность 175 м.п. трассы (350,1 п.м. трубы)</t>
  </si>
  <si>
    <t>Жилой дом по ул. Акжайык 20/1, Ду 80 мм, протяженность 32,15 м.п. трассы (64,3 п.м. трубы)</t>
  </si>
  <si>
    <t>Общежитие колледжа по ул. Конституции №20 (10, 10б, 10д), Ду 50-80 мм, протяженность 42,75 м.п. трассы (85,5 п.м. трубы)</t>
  </si>
  <si>
    <t>Т/трасса к ж.д. по ул. Затаевича №2, №4 (16, 12), Ду 70-150 мм, протяженность 167 м.п. трассы (334,1 п.м. трубы)</t>
  </si>
  <si>
    <t>Жилые дома по ул. Ойык (Квартальная №7, №19), Ду 50-80 мм, протяженность 64,7 м.п. трассы (129,4 п.м. трубы)</t>
  </si>
  <si>
    <t>Жилой дом по ул. Северное шоссе 25/1 (Акбидай 29), Ду 80 мм, протяженность 46,55 м.п. трассы (93,1 п.м. трубы)</t>
  </si>
  <si>
    <t>Крайняя №22, №6, №7, ул. Чехоева №33, №39, Ду 50-100 мм, протяженность 237,25 м.п. трассы (474,5 п.м. трубы)</t>
  </si>
  <si>
    <t>пр. Женис 44а (Победы №100), Ду 100-250 мм, протяженность 79,4 м.п. трассы (158,8 п.м. трубы)</t>
  </si>
  <si>
    <t>Раздел 2. Реконструкция с учетом проектирования тепловых сетей (безхозных) 2Ду 32-300 мм принятых на баланс согласно решения суда от 07.12.11г.</t>
  </si>
  <si>
    <t>ул. Сейфуллина 69/2, Ду 50 мм, протяженность 20,9 м.п. трассы (41,8 п.м. трубы)</t>
  </si>
  <si>
    <t>ул. Мусрепова 12, Ду 80 мм, протяженность 10 м.п. трассы (20 п.м. трубы)</t>
  </si>
  <si>
    <t>ул. Саргуль, Оленти, Современников, Орис, Романтиков, Ду 50/150 мм, протяженность 472,4 м.п. трассы (944,8 п.м. трубы)</t>
  </si>
  <si>
    <t>пр. Абылай хана 5/2 , Ду 50/200 мм, протяженность 80,1 м.п. трассы (160,2 п.м. трубы)</t>
  </si>
  <si>
    <t>ул. Ш.Жиенкулова 11/2, 11/1 (ул. Фурманова ж.д. 24,2 6), Ду 50/100 мм, протяженность 73,9 м.п. трассы (147,8 п.м. трубы)</t>
  </si>
  <si>
    <t>пр Абая 79/1, 79/2, 79/3 (195, 197, 199), ул.Сембинова 11/1 (45), Ду 50/100 мм, протяженность 110,35 м.п. трассы (220,7 п.м. трубы)</t>
  </si>
  <si>
    <t>М-он Молодежный ж.д. 2, 2/1, 6, 10, Ду 80/400 мм, протяженность 190,5 м.п. трассы (381 п.м. трубы)</t>
  </si>
  <si>
    <t>ул. Кенесары ж.д. 89, 89/6, (287-299), пер. Севастопольский ж.д. 32-40,  Ду 32/80 мм, протяженность 434,5 м.п. трассы (869 п.м. трубы)</t>
  </si>
  <si>
    <t>ул. Сембинова 6/1, 6/2, 6/3, (28, 30, 32),  ул. Ломоносова 5/1, 5/2, 5/3, 5/4, 5/5, (39/3, 39/2, 39/1, 37, 35), Ду 50/150 мм, протяженность 331,1 м.п. трассы (662,2 п.м. трубы)</t>
  </si>
  <si>
    <t>пер. Районный от пр. Абая до ул. Сейфулина, Ду 100/150 мм, протяженность 189,75 м.п. трассы (379,5 п.м. трубы)</t>
  </si>
  <si>
    <t>пр. Абылай хана 27/1 (Абылай хана 21/1), Ду  80 мм, протяженность 13,65 м.п. трассы (27,3 п.м. трубы)</t>
  </si>
  <si>
    <t>пр. Кудайбердиева 20, 22, Ду 80/100 мм, протяженность 85,8 м.п. трассы (171,6 п.м. трубы)</t>
  </si>
  <si>
    <t>м-н-3 Майлина 9 (м-он 3 ж.д. 20), Ду 100 мм, протяженность 25,25 м.п. трассы (50,5 п.м. трубы)</t>
  </si>
  <si>
    <t>ул. Кенесары 23, 25, ( 81/1, 83), Ду 70/200 мм, протяженность 143,9 м.п. трассы (287,8 п.м. трубы)</t>
  </si>
  <si>
    <t>пр. Сарыарка 27 (Сарыарка 89), Ду 50 мм, протяженность 18,8 м.п. трассы (37,6 п.м. трубы)</t>
  </si>
  <si>
    <t>пр. Богембая 26/1, Новоапостольская церковь, Ду 70 мм, протяженность 5 м.п. трассы (10 п.м. трубы)</t>
  </si>
  <si>
    <t>Жилые дома по пр. Женис 51/2, 51/3 (Московская 56/1, 56/2), Ду 80/100мм, протяженность 69,75 м.п. трассы (139,5 п.м. трубы)</t>
  </si>
  <si>
    <t>Агрогородок ж.д. №25,  Ду 70 мм, протяженность  17,3 м.п. трассы (34,6 п.м. трубы)</t>
  </si>
  <si>
    <t>Жилые дома от УТ-9 (ТМ-12) по ул. Аксенгир (Пирогова №9), Ду 50/70 мм, протяженность 71 м.п. трассы (142 п.м. трубы)</t>
  </si>
  <si>
    <t>Политехнический колледж по ул. Бейбитшилик 39, Ду 80/100 мм, протяженность 101,75 м.п. трассы (203,5 п.м. трубы)</t>
  </si>
  <si>
    <t>ул. Ш.Айманова 20, 20/1 (по старому ж.д. по ул. Казахская №70, №70/1), Ду 80/100 мм, протяженность 64,5 м.п. трассы (129 п.м. трубы)</t>
  </si>
  <si>
    <t>ул. Сейфуллина 6, 7, Ду 150/300 мм, протяженность 80,5 м.п. трассы (161 п.м. трубы)</t>
  </si>
  <si>
    <t>ул. Кумисбекова 6, Ду 150 мм, протяженность 7,3 м.п. трассы (14,6 п.м. трубы)</t>
  </si>
  <si>
    <t xml:space="preserve">пр. Абая-1, Ду 150 мм, протяженность 35,35 м.п. трассы (70,7 п.м. трубы) </t>
  </si>
  <si>
    <t>Автомобиль грузопассажирский - 1 шт.</t>
  </si>
  <si>
    <t>Трактор МТЗ-82.1 в комплекте с бульд.отвалом свар.генератором ГД2/2503-02 - 4 шт.</t>
  </si>
  <si>
    <t>Автоманипулятор 6 т - 2 шт.</t>
  </si>
  <si>
    <t>Ручной сварочный экструдер - 2 шт.</t>
  </si>
  <si>
    <t>Самовсасывающий дренажный насос</t>
  </si>
  <si>
    <t>Оборудование для доукомплектации насосной станции №7 (частотный преобразователь)</t>
  </si>
  <si>
    <t>Сервер НР 2-процессорный</t>
  </si>
  <si>
    <t>Програмное обеспечение: операционная система (ОС)"WindowsServer 2008 R2 Enterprise"</t>
  </si>
  <si>
    <t>Програмное обеспечение: Система управления базами данных "Microsoft SQL Server Standard Edition 2008 R2 32-bit/x64"</t>
  </si>
  <si>
    <t>Сканер протяжной, с автоматическим устройством подачи документов (ADF), сканирование двусторонних оригиналов за 1 проход, скорость сканирования двухсторонних оригиналов за 1 проход, скорость сканирования до 60 стр/мин/120 изобр/мин. Формат А4</t>
  </si>
  <si>
    <t xml:space="preserve">Сканер протяжной, скорость сканирования до 45 стр/мин, 90 изображений в минуту </t>
  </si>
  <si>
    <t>Сетевое оборудование: Маршрутизатор (роутер)</t>
  </si>
  <si>
    <t>Сетевое оборудование: Маршрутизатор (Роутер) D-Link DFL-260E</t>
  </si>
  <si>
    <t>Сетевое оборудование: Switch 24-port, 10/1400/1000 D-Link</t>
  </si>
  <si>
    <t>Сетевое оборудование: Коммутационный шкаф</t>
  </si>
  <si>
    <t>Водоотливной насос 120 м3/ч - 3 шт.</t>
  </si>
  <si>
    <t>Водоотливной насос 120 м3/ч - 2 шт.</t>
  </si>
  <si>
    <t>Водоотливной насос 60 м3/ч - 1 шт.</t>
  </si>
  <si>
    <t>Сумма без НДС</t>
  </si>
  <si>
    <t>Цена за ед-цу без НДС</t>
  </si>
  <si>
    <t>Наименование транспорта и спецмеханизмов</t>
  </si>
  <si>
    <t>Легковой  автомобиль  - 1 шт.(Kia Mohave)</t>
  </si>
  <si>
    <t>Легковой  автомобиль -  1 шт.(Skoda)</t>
  </si>
  <si>
    <t>Водоотливной насос  60 м3/ч - 1 шт.</t>
  </si>
  <si>
    <t>Автомобиль грузопассажирский ГАЗ-2705 - 1 шт.</t>
  </si>
  <si>
    <t>Автомобиль грузопассажирский  ГАЗ-2705 - 1 шт.</t>
  </si>
  <si>
    <t>Сравнительная таблица по разделу 6  "Приобретение транспорта и механизмов"</t>
  </si>
  <si>
    <t>Экскаватор 0,3м3 - 1 шт.</t>
  </si>
  <si>
    <t>Председатель правления</t>
  </si>
  <si>
    <t>"___" ____________2013 г.</t>
  </si>
  <si>
    <t>Диспенсер напольный с шкафом</t>
  </si>
  <si>
    <t>Шкаф для документов</t>
  </si>
  <si>
    <t>Шкаф для одежды с выдвижной штангой</t>
  </si>
  <si>
    <t>Стол однотумбовый</t>
  </si>
  <si>
    <t xml:space="preserve">Мебель для руководителя </t>
  </si>
  <si>
    <t>Стиральная машинка полуавтомат 10кг</t>
  </si>
  <si>
    <t>Весы электронные ТВ-м-150 А-2</t>
  </si>
  <si>
    <t>7.12</t>
  </si>
  <si>
    <t>Кресло офисное</t>
  </si>
  <si>
    <t>7.13</t>
  </si>
  <si>
    <t xml:space="preserve">Стол компьютерный  в комплекте </t>
  </si>
  <si>
    <t xml:space="preserve">Стол производственный  СПРО </t>
  </si>
  <si>
    <t xml:space="preserve">Стул </t>
  </si>
  <si>
    <t xml:space="preserve">Шкаф картотечный </t>
  </si>
  <si>
    <t>7.14</t>
  </si>
  <si>
    <t xml:space="preserve">Стол рабочий </t>
  </si>
  <si>
    <t xml:space="preserve">Корректировка инвестиционной программы АО "Астана-Теплотранзит" на 2013-2015 гг. </t>
  </si>
  <si>
    <t xml:space="preserve">Контролер </t>
  </si>
  <si>
    <t>Начальник  производственно-технической  службы                                                         Шонаев М.А.</t>
  </si>
  <si>
    <t>Начальник  производственно-технической  службы                                                   Шонаев М.А.</t>
  </si>
  <si>
    <t xml:space="preserve">         Начальник  финансово-экономической  службы                                                          Казарян Е.А.           </t>
  </si>
  <si>
    <t>Установка (монтаж) СТУ на жилых домах - 400 комплектов.</t>
  </si>
  <si>
    <t>Полуавтоматический сварочный аппарат - 2 шт.</t>
  </si>
  <si>
    <t>5.7</t>
  </si>
  <si>
    <t>УСПД (контрольная точка) - 10 комплектов.</t>
  </si>
  <si>
    <t>Корректировка инвестиционной программы АО "Астана-Теплотранзит" 2012-2015 г.г.</t>
  </si>
  <si>
    <t>тыс.тенге без НДС</t>
  </si>
  <si>
    <t>1 - год реализации 2012-2013 г.г.</t>
  </si>
  <si>
    <t>2 - год реализации 2013-2014 г.г.</t>
  </si>
  <si>
    <t>3 - год реализации 2014-2015 г.г.</t>
  </si>
  <si>
    <t>Утвержд.за весь период реализации 2012-2015 г. г.</t>
  </si>
  <si>
    <t>Подлежит корректировке за весь период реализации 2012-2015 г.г.</t>
  </si>
  <si>
    <t>Отклонение за весь период реализации 2012-2015 г.г.</t>
  </si>
  <si>
    <t>Утвержд.</t>
  </si>
  <si>
    <t>Кор-ка</t>
  </si>
  <si>
    <t xml:space="preserve">Отклонение </t>
  </si>
  <si>
    <t>Раздел 1.</t>
  </si>
  <si>
    <t xml:space="preserve"> Реконструкция, модернизация тепловых сетей</t>
  </si>
  <si>
    <t>Реконструкция с учетом проектирования теплотрассы 2Ду 150 мм по ул. Джангильдина 26, протяженность трассы - 176,5 м.п.(353 м.п.трубы)</t>
  </si>
  <si>
    <t>Реконструкция с учетом проектирования ТМ-6 2Ду 800 мм, от УТ-34, протяженность трассы - 329 м.п.(658 м.п.трубы)</t>
  </si>
  <si>
    <t>Реконструкция с учетом проектирования ТМ-9 2Ду 400 мм, протяженность трассы - 327 м.п.(654 м.п.трубы)</t>
  </si>
  <si>
    <t>Реконструкция с учетом проектирования теплотрассы 2Ду 400 мм по ул. Жансугурова 2, протяженность трассы -  47,5 м.п.(95 м.п.трубы)</t>
  </si>
  <si>
    <t>Раздел 2.</t>
  </si>
  <si>
    <t xml:space="preserve"> Реконструкция тепловых сетей (безхозяйных) 2Ду 32-300 мм, принятых на баланс согласно решению суда от 07.12.11г.</t>
  </si>
  <si>
    <t>ул. Ломоносова 6/1 (ул. Кенесары ж.д.243), ул.Кенесары 79 (243), Ду 50-70 мм, протяженность трассы - 68 м.п.(136 м.п.трубы)</t>
  </si>
  <si>
    <t>ул. Сембинова ж.д.10/2 (36), Ду 50-70 мм, протяженность трассы - 100,6 м.п.(201,2 м.п.трубы)</t>
  </si>
  <si>
    <t>ул. Ломоносова 5/6, Общество глухих, Ду 50 мм, протяженность трассы - 26,7 м.п.(53,4 м.п.трубы)</t>
  </si>
  <si>
    <t>пр. Абая ж.д.66/2 (178), Ду 50 мм, протяженность трассы - 58 м.п.(116 м.п.трубы)</t>
  </si>
  <si>
    <t>м-он Молодежный ж.д.35 (7/1), Ду 100 мм, протяженность трассы - 32,3 м.п.(64,6 м.п.трубы)</t>
  </si>
  <si>
    <t>м-он Целинный ("А") 1/1, Ду 40 мм, протяженность трассы - 23,5 м.п.(47 м.п.трубы)</t>
  </si>
  <si>
    <t>пер. Минский 11-23, пр. Абая 84-88/2 (292-300), Ду 40-100 мм, протяженность трассы - 460 м.п.(920 м.п.трубы)</t>
  </si>
  <si>
    <t>пер. Циолковского 4,6,8,10, Ду 80 мм, протяженность трассы - 173,2 м.п.(346,4 м.п.трубы)</t>
  </si>
  <si>
    <t>пер. Севастопольский 28,30, Ду 50-70 мм, протяженность трассы - 36 м.п.(72 м.п.трубы)</t>
  </si>
  <si>
    <t>пер. Севастопольский 19, ул. Янушкевича 9/2,9/3,9/4,9/5 (ул. Циолковского 37-43), Ду 50-70 мм, протяженность трассы - 115 м.п.(230 м.п.трубы)</t>
  </si>
  <si>
    <t>ул. Жубанова 14/2,14/3,14/5,16/1 (44 -60), Ду 50-100 мм, протяженность трассы - 297,8 м.п.(595,6 м.п.трубы)</t>
  </si>
  <si>
    <t>ул. Янушкевича 10/1,10/2,10/3 (ул. Циолковского 12,12а,12б) - ул. Кенесары 91,91/1,91/3,91/4 (301-309), Ду 50-100 мм, протяженность трассы - 235,5 м.п.(471 м.п.трубы)</t>
  </si>
  <si>
    <t>пр. Абая 81/3 (по старому 203А),  83/1 (по старому 207), Ду 50-100 мм, протяженность трассы - 490 м.п.(980 м.п.трубы)</t>
  </si>
  <si>
    <t>м-он Молодежный  ж.д. 32/1(4/2), Ду 70 мм, протяженность трассы - 88 м.п.(176 м.п.трубы)</t>
  </si>
  <si>
    <t>ул. Манаса  18 (ул. Махтумкули ж.д.2/2 (МВД РК), Ду 80 мм, протяженность трассы - 78,6 м.п.(157,2 м.п.трубы)</t>
  </si>
  <si>
    <t>ул. Жансугурова 4 (Гуманитарный колледж, учебный корпус), Ду 100 мм, протяженность трассы - 204 м.п.(408 м.п.трубы)</t>
  </si>
  <si>
    <t>ул. А.Исмаилова (ул.Речная) 3/1, Ду 70 мм, протяженность трассы - 16 м.п.(32 м.п.трубы)</t>
  </si>
  <si>
    <t>ул. Иманбаевой ж.д. 1/1, Ду 70 мм, протяженность трассы - 30,5 м.п.(71 м.п.трубы)</t>
  </si>
  <si>
    <t>ул. Бараева ж.д.9, Ду 100 мм, протяженность трассы - 58 м.п.(116 м.п.трубы)</t>
  </si>
  <si>
    <t>м-он Молодежный ж.д.8/1 (стар. 49), Ду 50 мм, протяженность трассы - 72,3 м.п.(144,6 м.п.трубы)</t>
  </si>
  <si>
    <t>ул. Жумабаева  ж.д.6, Ду 80-200 мм, протяженность трассы - 156,2 м.п.(312,4 м.п.трубы)</t>
  </si>
  <si>
    <t>ул. Жумабаева  ж.д.18, (стар. 28/7), Ду 100 мм, протяженность трассы - 30,2 м.п.(60,4 м.п.трубы)</t>
  </si>
  <si>
    <t>м-он 5  ж.д.16/1 (стар. 23/1), Ду 80 мм, протяженность трассы - 27,2 м.п.(54,4 м.п.трубы)</t>
  </si>
  <si>
    <t>пр. Абая 101/1,101 (221/1,221а), Ду 80-100 мм, протяженность трассы - 77 м.п.(144 м.п.трубы)</t>
  </si>
  <si>
    <t>ул. Култобе 9 (пер. Районный 15/2), Ду 50,100,150 мм, протяженность трассы - 77,7 м.п.(155,4  м.п.трубы)</t>
  </si>
  <si>
    <t>ЕЦ 166/1 Промзона, Ду 50-150 мм, протяженность трассы - 93,2 м.п.(186,4 м.п.трубы)</t>
  </si>
  <si>
    <t>пр. Женис 36,36/3,36/4 (пр. Победы 88,90,92), Ду 50-70 мм, протяженность трассы - 128 м.п.(256 м.п.трубы)</t>
  </si>
  <si>
    <t>ул. Чехоева 14, Ду 50-100 мм, протяженность трассы - 225,3 м.п.(450,6 м.п.трубы)</t>
  </si>
  <si>
    <t>Жилые дома от УТ-11(ТМ-12) по ул. Аксенгир (Пирогова №13), Ду 50-100 мм, протяженность трассы - 75,6 м.п.(151,2 м.п.трубы)</t>
  </si>
  <si>
    <t>Акимат по ул. Кеменгерулы №21,24, Ду 50 мм, протяженность трассы - 121,4 м.п.(243 м.п.трубы)</t>
  </si>
  <si>
    <t>Жилые дома по ул. Ойыл (Квартальная 1а,2а), Ду 100, 50 мм, протяженность трассы - 116 м.п.(232 м.п.трубы)</t>
  </si>
  <si>
    <t>Жилые дома по ул. Затаевича 10,8/1 (6,8), Ду 100-70 мм, протяженность трассы - 147,7 м.п.(295,4 м.п.трубы)</t>
  </si>
  <si>
    <t>От УТ-25 (ТМ-2) до ж.д. по ул. Затаевича 8, Ду 250-300 мм, протяженность трассы - 944 м.п.(1888 м.п.трубы)</t>
  </si>
  <si>
    <t>Раздел 3.</t>
  </si>
  <si>
    <t>Частотный преобразователь - Оборудование для доукомплектации насосной станции №7</t>
  </si>
  <si>
    <t>Эл. двигатель А4-400х-6УЗ - 1 шт., эл. двигатель А4-450-х6УЗ - 1 шт.</t>
  </si>
  <si>
    <t>1- Д (расторгли)</t>
  </si>
  <si>
    <t>Полуавтоматический сварочный аппарат - 1 шт.</t>
  </si>
  <si>
    <t>доп.объем</t>
  </si>
  <si>
    <t>Раздел 4.</t>
  </si>
  <si>
    <t>Раздел 4.  Приобретение оргтехники</t>
  </si>
  <si>
    <t>Системный блок 3,00GHz  с операционной системой и программным обеспечением, (Windows XP и выше (Professionals), Office 2007 и выше (Professionals), клавиатура, мышь - 7 компл.</t>
  </si>
  <si>
    <t>ЖК монитор 19' - 7 шт.</t>
  </si>
  <si>
    <t>Сервер с операционной системой - 1 шт.</t>
  </si>
  <si>
    <t>Принтер лазерный цветной,  формат А4, скорость черно-белой печати до 12 стр./мин., (цветной до 8 стр./мин.) - 3 шт.</t>
  </si>
  <si>
    <t>Плоттер HP Color LaserJet - 1 шт.</t>
  </si>
  <si>
    <t>Источники бесперебойного питания 500VA - 7 шт.</t>
  </si>
  <si>
    <t>Источники бесперебойного питания APC UPS 800VA - 4 шт.</t>
  </si>
  <si>
    <t>Источники бесперебойного питания 2200VA - 1 шт.</t>
  </si>
  <si>
    <t>Информационная система управления производства - 1 шт.</t>
  </si>
  <si>
    <t>Раздел 5.</t>
  </si>
  <si>
    <t>Раздел 5. Приобретение приборов и систем, в т.ч.:</t>
  </si>
  <si>
    <t>Контроллер</t>
  </si>
  <si>
    <t>Установка систем теплового учета ( СТУ) на тепловых узлах многовкартирных жилых домов</t>
  </si>
  <si>
    <t>-</t>
  </si>
  <si>
    <t>Система теплового учета (КИП и А)</t>
  </si>
  <si>
    <t>Система теплового учета (СН и УП)</t>
  </si>
  <si>
    <t xml:space="preserve">Кран шаровый Ду 50-100 </t>
  </si>
  <si>
    <t>Установка УСПД (300 комп.)</t>
  </si>
  <si>
    <t>Раздел 6.</t>
  </si>
  <si>
    <t>Автомастерская АРТК-М (база ГАЗ-3307) - 2 шт.</t>
  </si>
  <si>
    <t>Трактор,МТЗ-82 - 2 шт.</t>
  </si>
  <si>
    <t>Легковой  автомобиль Ланд Крузер Прадо (Kia Mohave) - 1 шт.</t>
  </si>
  <si>
    <t>Легковой  автомобиль Тайота Камри (Skoda) - 1 шт.</t>
  </si>
  <si>
    <t>Легковой  автомобиль ВАЗ-21214 - 2 шт.</t>
  </si>
  <si>
    <t>Сварочный генератор ГД 2/2503-02 - 2 шт.</t>
  </si>
  <si>
    <t>Раздел 7.</t>
  </si>
  <si>
    <t xml:space="preserve">Всего по разделам инвестиционной программы </t>
  </si>
  <si>
    <t>Источники инвестиционной программы:</t>
  </si>
  <si>
    <t>амортизация в составе ТС</t>
  </si>
  <si>
    <t>прибыль в составе ТС</t>
  </si>
  <si>
    <t>ИТОГО</t>
  </si>
  <si>
    <t>Разница суммы ИП и источников</t>
  </si>
  <si>
    <t>Установка систем теплового учета (СТУ) на тепловых узлах многоквартирных жилых домов (400 комп.)</t>
  </si>
  <si>
    <t>Ручной сварочный экструдер-2 шт.; Заточный станок-1 шт</t>
  </si>
  <si>
    <t>Установка (монтаж) СТУ на жилых домах - 519 комплектов.</t>
  </si>
  <si>
    <t>Системы теплового учета в комплекте (400 шт.)</t>
  </si>
  <si>
    <t>Монтаж</t>
  </si>
  <si>
    <t>УСПД (300комплектов)</t>
  </si>
  <si>
    <t xml:space="preserve">Установка систем теплового учета (СТУ) на тепловых узлах </t>
  </si>
  <si>
    <t>многоквартирных домов</t>
  </si>
  <si>
    <t>2 этап (519 комп. Общей стоимостью 259 500 тыс. тенге, приобретение в сентябре 2013 г.)</t>
  </si>
  <si>
    <t>1 этап (400 комп. общей стоимостью 200 000 тыс. тенге, приобретение в июле 2013 г.)</t>
  </si>
  <si>
    <t>Системы теплового учета в комплекте (519 шт.)</t>
  </si>
  <si>
    <t>Всего по 2 этапам</t>
  </si>
  <si>
    <t>Цены по ценовому предложению</t>
  </si>
  <si>
    <t>разница</t>
  </si>
  <si>
    <t>Сканер протяжной, скорость сканирования до 45 стр/мин, 90 изображений в минуту -2 шт.</t>
  </si>
  <si>
    <t>Системный блок 3,00GHz  с операционной системой и программным обеспечением, Windows XP и выше (Professionals), Office 2007 и выше (Professionals), клавиатура, мышь - 7 шт.</t>
  </si>
  <si>
    <t>Автомастерская АРТК-М - 1 ед..</t>
  </si>
  <si>
    <t>Трактор, МТЗ-82.1 в комплекте с бульд.отвалом свар.генератором ГД2/2503-02 - 2 ед.</t>
  </si>
  <si>
    <t>Экскаватор 0,3 м3 - 1 ед.</t>
  </si>
  <si>
    <t>Водоотливной насос 120 м3/ч - 2 ед.</t>
  </si>
  <si>
    <t>Водоотливной насос 60 м3/ч - 1 ед.</t>
  </si>
  <si>
    <t>Эл. двигатель - 1 шт.</t>
  </si>
  <si>
    <t>Ручной сварочный экструдер - 1 шт.</t>
  </si>
  <si>
    <t>2 -й год реализации (с 1 октября 2013 года по 30 сентября 2014 года)</t>
  </si>
  <si>
    <t>Сетевое оборудование Switch 24-port, 10/100/1000D-Link - 1 шт.</t>
  </si>
  <si>
    <t>Сетевое оборудование: маршрутизатор (роутер)- 1 шт.</t>
  </si>
  <si>
    <t>Гидравлическая помпа для сравнительной калибровки - 1 шт.</t>
  </si>
  <si>
    <t>Калибратор электрических сигналов - 1 шт.</t>
  </si>
  <si>
    <t>Установка систем теплового учета (СТУ) на тепловых узлах многоквартирных жилых домов - 519 комп.</t>
  </si>
  <si>
    <t>ЖК монитор -7 шт.</t>
  </si>
  <si>
    <t>Принтер лазерный,  формат А4, тип печати: черно-белый - 3 шт.</t>
  </si>
  <si>
    <t>Сканер протяжной с автоматическим устройством подачи документов - 1 шт.</t>
  </si>
  <si>
    <t>Шонаев М.А.</t>
  </si>
  <si>
    <t>Тютрин С.И.</t>
  </si>
  <si>
    <t>Аманжолов С.</t>
  </si>
  <si>
    <t>Гера С.В.</t>
  </si>
  <si>
    <t>Каримова К.Г.</t>
  </si>
  <si>
    <t>Каверзин В.Н.</t>
  </si>
  <si>
    <t>Смагулов А.О.</t>
  </si>
  <si>
    <t>Ахметжанов Т.С.</t>
  </si>
  <si>
    <t>в т.ч. приобретение топливно-раздаточной колонки (сл.записка транспортной службы)</t>
  </si>
  <si>
    <t>Примечание</t>
  </si>
  <si>
    <t>Исп. Токимбаева А.</t>
  </si>
  <si>
    <t>Информация по выполнению инвестиционной программы АО "Астана-Теплотранзит"</t>
  </si>
  <si>
    <t>План</t>
  </si>
  <si>
    <t>Факт</t>
  </si>
  <si>
    <t>Отклонение</t>
  </si>
  <si>
    <t>% выполнение</t>
  </si>
  <si>
    <t>Ответственные исполнители</t>
  </si>
  <si>
    <t>Информационная система управления производства - 1 шт.(Автоматизированная система управления производством (АСУП) ТГИД-07 )</t>
  </si>
  <si>
    <t>1.</t>
  </si>
  <si>
    <t>2.</t>
  </si>
  <si>
    <t>7.1.</t>
  </si>
  <si>
    <t>3.</t>
  </si>
  <si>
    <t>4.</t>
  </si>
  <si>
    <t>5.</t>
  </si>
  <si>
    <t>6.</t>
  </si>
  <si>
    <t>Курирующие заместители председателя правления</t>
  </si>
  <si>
    <t>Голев С.Н.</t>
  </si>
  <si>
    <t>Курисько  В.В.</t>
  </si>
  <si>
    <t>выполнено</t>
  </si>
  <si>
    <t>Какенова Р.Ж. , Каликов С., Турабаев Ж.</t>
  </si>
  <si>
    <t xml:space="preserve"> Курисько  В.В.</t>
  </si>
  <si>
    <t>Садыков З.И.</t>
  </si>
  <si>
    <t>Начальник ФЭС                                                    Казарян Е.А.</t>
  </si>
  <si>
    <t>Исключен из программы на основании протокола тех. совещания от 18.02.2014г., в связи выходом из эксплуатации старой насосной станции №1</t>
  </si>
  <si>
    <t>Полуавтоматический сварочный аппарат - 2 шт., резчик швов по асфальту - 1 шт., радикально-сверлин. станок - 1 шт., токарный станок - 1 шт., всего:</t>
  </si>
  <si>
    <t>в том числе:</t>
  </si>
  <si>
    <t>Электрогенератор - 1 шт.</t>
  </si>
  <si>
    <t>Резчик швов - 1шт.</t>
  </si>
  <si>
    <t>Установка для стыковой сварки труб-оболочек - 1шт.</t>
  </si>
  <si>
    <t>1</t>
  </si>
  <si>
    <t>2</t>
  </si>
  <si>
    <t>Самосвал 13 т - 1 ед. (г/п 9,8 тн)</t>
  </si>
  <si>
    <t>Паныш Е.А.</t>
  </si>
  <si>
    <t>Стол рабочий - 6шт.</t>
  </si>
  <si>
    <t>Стол компьютерный - 4 шт.</t>
  </si>
  <si>
    <t>Шкаф для документов - 5 шт.</t>
  </si>
  <si>
    <t>Шкаф картотечный -1 шт.</t>
  </si>
  <si>
    <t>Диспенсер напольный с шкафом - 4 шт.</t>
  </si>
  <si>
    <t>Шкаф для одежды - 4 шт.</t>
  </si>
  <si>
    <t>Выполнение в 4 кв-ле 2013г. ПИР на сумму 7 683,3 тыс.тенге.                          Договор на СМР №168/11-14 от 05.03.14г. с ТОО "Астана ПСМ"- на сумму 94 980,7 тыс. тг; договор .№197/11-14 от 19.03.14г. с ТОО "Ұлытау жолдары" на сумму 84 402,1 тыс.тенге; Д № 226/11-14 от 08.04.2014г. ТОО "Макс-Тон" на сумму  155 000 тыс. тенге; Д № 227/11-14 от  08.04.2014г. ТОО "Ырыс-Батыс" на сумму 95 000 тыс. тенге</t>
  </si>
  <si>
    <t>Договор на стадии заключения с ИП "Садыкова Б.Н." на сумму 998,0 тыс. тенге</t>
  </si>
  <si>
    <t>Договор заключен с ПКФ "Сириус" на сумму 6 924 тыс.тенге.Частично выполнен на сумму 3 799,0 тыс.тг.</t>
  </si>
  <si>
    <t xml:space="preserve">выполнено </t>
  </si>
  <si>
    <t>Согласно служебной записки от 27.03.2014г. Выполнено.</t>
  </si>
  <si>
    <t xml:space="preserve">Служебной запиской от 14.10.2014г. произведена корректировка на сумму 2 179 тыс. тенге. Приобретено 569 комплектов СТУ на сумму 133 490,2 тыс.тенге. Заключено 2 договора на монтажные работы по установке СТУ на сумму 38 103 тыс.тенге. Выполнение ожидается 100% в сумме 171 593 тыс. тенге. </t>
  </si>
  <si>
    <t>Кресло офисное - 10 шт.</t>
  </si>
  <si>
    <t>Согласно служебной записки от 08.04.14г. о корректировке: приобрести установку для стыковой сварки труб-оболочек на суму 6 630,0 тыс. тенге. Объявлен электронный конкурс.</t>
  </si>
  <si>
    <r>
      <t xml:space="preserve">Служебной запиской от 17.03.2014г. произведена корректировка: взамен калибратора приобрести </t>
    </r>
    <r>
      <rPr>
        <b/>
        <sz val="10"/>
        <rFont val="Times New Roman"/>
        <family val="1"/>
        <charset val="204"/>
      </rPr>
      <t>генератор</t>
    </r>
    <r>
      <rPr>
        <sz val="10"/>
        <rFont val="Times New Roman"/>
        <family val="1"/>
        <charset val="204"/>
      </rPr>
      <t xml:space="preserve"> унифицированного сигнала тока - 2 шт. на сумму 50,0 тыс.тг. Заключен Д с ИП Нуркенов М. №276/09-14 от 12.05.14г.; сч.ф.№49 от 13.05.14г.</t>
    </r>
  </si>
  <si>
    <t>Согласно служебной записки от 27.03.2014г.о корректировке: приобрести электрогенератор. Заключен договор с ТОО "Цет" № 267/09-14 от 30.04.14г., на сумму 179.0 тыс. тенге. Срок поставки до конца мая м-ца.</t>
  </si>
  <si>
    <t>Заключен договор на сумму 1 841,4 тыс. тг. с Фирмой ДИПО-Сервис №287/09-14 от 19.05.14г. Срок поставки до 19.06.2014г.</t>
  </si>
  <si>
    <t>Д. с ИП "Глушков И.Н." № 290 от 20.05.14 г., сч.ф. №23 от 20.05.14 г.</t>
  </si>
  <si>
    <t>Кондиционер настенный 35-40 кв.м. - 1 шт.</t>
  </si>
  <si>
    <t>Д. с ИП "Инкар" Токпанова Т.С., № 236 от 15.04.14 г., сч.ф. № 86 от 24.04.14г.</t>
  </si>
  <si>
    <t>7.2.</t>
  </si>
  <si>
    <t>7.3.</t>
  </si>
  <si>
    <t>7.4.</t>
  </si>
  <si>
    <t>7.5.</t>
  </si>
  <si>
    <t>7.6.</t>
  </si>
  <si>
    <t>7.7.</t>
  </si>
  <si>
    <t>7.8.</t>
  </si>
  <si>
    <t>7.9.</t>
  </si>
  <si>
    <t xml:space="preserve">Согласно служебных записок взамен полуавтоматического сварочного аппарата приобрести электрогенератор, установку для стыковой сварки труб-оболочек, пенозаливочная машина, профессиональные инверторные аппараты для сварки </t>
  </si>
  <si>
    <t>Договор на стадии заключения с ТОО "Арташ  UNION" на сумму 312 000 тенге.</t>
  </si>
  <si>
    <t>Кондиционер с монтажем - 2 шт.</t>
  </si>
  <si>
    <t>Д. с  ИП Нысанбекова Ж. № 293/25-14 от 21.05.14 г.; сч.ф. №1 от 21.05.2014г.</t>
  </si>
  <si>
    <t>Д. с ИП "Таскабулов Д. " № 300/25-14 от 22.05.2014г.; сч.ф. №16 от 30.05.14г.</t>
  </si>
  <si>
    <t>Д. с ИП "Исламия" № 294/25-14 от 21.05.2014г. на сумму 38,7 тыс. тг.; сч. ф. №27 от 03.06.14г.</t>
  </si>
  <si>
    <t>Д. с ТОО "Техника IG", 292/25-14 от 21.05.14 г. ; сч. ф. №6 от 22.05.14г.</t>
  </si>
  <si>
    <t>Д. с ИП "Мария "№ 301/25-14 от 23.05.2014г.; сч.ф .№ 161 от 27.05.14г.</t>
  </si>
  <si>
    <t>Согласно служебной записки от 05.06.14г. На сумму 4 500,0 тыс. тг.</t>
  </si>
  <si>
    <t>Автоматическая стационарная пенозаливочная машина - 1шт.</t>
  </si>
  <si>
    <t>Ручной сварочный экструдер - 4 шт.</t>
  </si>
  <si>
    <t>Профессиональные инверторные аппараты для сварки - 2 шт.</t>
  </si>
  <si>
    <t>Согласно служебной записки от 05.06.14г. На сумму 444,0 тыс. тг.</t>
  </si>
  <si>
    <t>Объявлен повторный электронный конкурс. Дополн-но приобретен 4 шт.</t>
  </si>
  <si>
    <t>Конденсаторная установка автоматической компенсации реактивной мощности - 1шт.</t>
  </si>
  <si>
    <t>Амонжолов С.</t>
  </si>
  <si>
    <t>Кондиционер - 2шт.</t>
  </si>
  <si>
    <t>Шкафы металлические для хранения одежды (на насосные станции) - 10 шт.</t>
  </si>
  <si>
    <t>Кресло руководителя - 1 шт.</t>
  </si>
  <si>
    <t>Согласно служебной записки от 11.06.14г. На сумму 420,0 тыс. тг.</t>
  </si>
  <si>
    <t>Согласно служебной записки от 11.06.14г. На сумму 300,0 тыс. тг.</t>
  </si>
  <si>
    <t>Согласно служебной записки от 11.06.14г. На сумму 70,0 тыс. тг.</t>
  </si>
  <si>
    <t>Согласно служебной записки энергослужбы от 11.06.2014г. На сумму 4 688 тыс. тг.</t>
  </si>
  <si>
    <t>Выполнение по реконструк от 10.06.2014г.)ции ТМ-8 на сумму 12 563 тыс.тенге; ПИР на сумму 11 692,1 тыс.тг. - 48,7 % от суммы Д 225/11-14 от 08.04.14г. (сч.ф.№8 от 10.06.124г.)</t>
  </si>
  <si>
    <t>7.10.</t>
  </si>
  <si>
    <t>7.11.</t>
  </si>
  <si>
    <t>7.12.</t>
  </si>
  <si>
    <t>Бензиновый электрогенератор - 1 шт.</t>
  </si>
  <si>
    <t>Автоматическая стационарная пенозаливочная машина - 1 шт.</t>
  </si>
  <si>
    <r>
      <t xml:space="preserve">Служебной запиской от 17.03.2014г. произведена корректировка: взамен калибратора приобретен </t>
    </r>
    <r>
      <rPr>
        <b/>
        <sz val="10"/>
        <rFont val="Times New Roman"/>
        <family val="1"/>
        <charset val="204"/>
      </rPr>
      <t>генератор</t>
    </r>
    <r>
      <rPr>
        <sz val="10"/>
        <rFont val="Times New Roman"/>
        <family val="1"/>
        <charset val="204"/>
      </rPr>
      <t xml:space="preserve"> унифицированного сигнала тока - 1 шт. </t>
    </r>
  </si>
  <si>
    <t>Приобретение и монтаж конденсаторной установки автоматической компенсации реактивной мощности - 1шт.</t>
  </si>
  <si>
    <t>1.1.</t>
  </si>
  <si>
    <t>1.2.</t>
  </si>
  <si>
    <t>1.3.</t>
  </si>
  <si>
    <t>1.4.</t>
  </si>
  <si>
    <t>1.5.</t>
  </si>
  <si>
    <t>1.6.</t>
  </si>
  <si>
    <t>1.7.</t>
  </si>
  <si>
    <t>1.8.</t>
  </si>
  <si>
    <t>1.9.</t>
  </si>
  <si>
    <t xml:space="preserve">Проектирование и реконструция теплотрассы к АО "Астана-Теплотранзит" 2Ду150-250 мм, протяженность1009 м трассы </t>
  </si>
  <si>
    <t>Проектирование и реконструкция теплотрассы 2Ду 80-150 мм по ул. Пушкина 5, 7, 9, протяженность 403,5 м трассы</t>
  </si>
  <si>
    <t xml:space="preserve">Проектирование и реконструкция теплотрассы  2Ду 100-150 мм к СШ №3, протяженность 404,5 м трассы </t>
  </si>
  <si>
    <t xml:space="preserve">Проектирование и реконструкция теплотрассы 2Ду 400 мм по ул. Иманова 1, протяженность 201 м трассы </t>
  </si>
  <si>
    <t>Модернизация оборудования в ТРП-2 (замена запорной арматуры Ду 800 мм - 4 шт.)</t>
  </si>
  <si>
    <t>Проектирование и реконструкция тепломагистрали  ТМ-1,  2Ду 1000 мм , протяженность 370 м трассы</t>
  </si>
  <si>
    <t>Проектирование и реконструкция тепломагистрали ТМ-8, 2Ду 300-400 мм, протяженность  429,5 м трассы</t>
  </si>
  <si>
    <t>Резервное электроснабжение существующей НС №5, расположенной на территории производственной базы по ул. Жансугурова 7 (2-х каб.линий протяж. 2200 м.)</t>
  </si>
  <si>
    <t>Проектирование и реконструкция теплотрассы 2Ду 100-400 мм от ул.Алиева в границах ул.Арасан и ул.Алпамыс в пос."Энергетик", протяженность 990 м трассы</t>
  </si>
  <si>
    <t>Доп.объем, подлежит корректировке. Вопрос о кор-ке необходимо вынести на тех. совещание. Уточнить протяженность.</t>
  </si>
  <si>
    <t>Договр заключен 12.06.2014г. с ТОО "Бемер Арматурен Казахстан" на сумму 77 178 тыс.тенге. Срок поставки - 11.07.2014г. Превышение по статье на 16 971 тыс.тенге в свзи с ростом цены.</t>
  </si>
  <si>
    <t>Объект подлежит исключению, согласно протокольному решению тех.совещания АО «Астана-Теплотранзит» от 18.02.2014г. в связи с выполнением Акиматом района «Алматы» в 2013 году  работ по благоустройству дворов района «Алматы» со смежными сетями, в том числе по ул. Пушкина 5,7,9</t>
  </si>
  <si>
    <t>Выполнено</t>
  </si>
  <si>
    <t>Выполнение в 4 кв-ле 2013г. ПИР на сумму 7 683,3 тыс.тенге.                                                                         Договор на СМР №168/11-14 от 05.03.14г. с ТОО "Астана ПСМ"- на сумму 94 980,7 тыс. тг;                                                                              Договор №197/11-14 от 19.03.14г. с ТОО "Ұлытау жолдары" на сумму 84 402,1 тыс.тенге;                                                                                            Договор № 226/11-14 от 08.04.2014г. с ТОО "Макс-Тон" на сумму                      155 000 тыс. тенге;                                                                                                       Договор № 227/11-14 от  08.04.2014г. с ТОО "Ырыс-Батыс" на сумму     95 000 тыс. тенге.</t>
  </si>
  <si>
    <t>Данный пункт подлежит корректировке. Взамен, в связи с производственной необходимостью, приобретены:  резчик швов - 1шт., бензиновый электрогенератор – 1 шт, установка для стыковой сварки труб-оболочек - 1 шт., автоматическая стационарная пенозаливочная машина - 1 шт., профессиональный инверторный аппарат для сварки - 2шт..</t>
  </si>
  <si>
    <t>Начальник ФЭС                                                                       Казарян Е.А.</t>
  </si>
  <si>
    <t>по 2 -му году реализации (с 1 октября 2013 года по 30 сентября 2014 года)</t>
  </si>
  <si>
    <t>Договор на услуги по проектированию объектов заключен с ТОО "ВодоКаналПроектАстана"  (№Д 225/11-14 от 08.04.14г.). Срок оказания услуг - до 01.07.2014г.</t>
  </si>
  <si>
    <r>
      <t xml:space="preserve">Выполнение в 4 квартале 2013г. по СМР на сумму 12 563 тыс.тенге + частичное выполнение ПИР на сумму 2 616 тыс. тенге. </t>
    </r>
    <r>
      <rPr>
        <b/>
        <sz val="10"/>
        <rFont val="Times New Roman"/>
        <family val="1"/>
        <charset val="204"/>
      </rPr>
      <t xml:space="preserve">По данному объекту существует разногласие по списанию материала (песку): материальный отчет не соответствует актам на выполненные работы по инвестициям на 396 тыс.тенге </t>
    </r>
    <r>
      <rPr>
        <sz val="10"/>
        <rFont val="Times New Roman"/>
        <family val="1"/>
        <charset val="204"/>
      </rPr>
      <t xml:space="preserve">(необходимо принять меры)      </t>
    </r>
  </si>
  <si>
    <t>УСПД (устройство сбора и передачи данных - 228 шт.</t>
  </si>
  <si>
    <t>Шкафы металлический ШРМ 22 м- 10 шт.</t>
  </si>
  <si>
    <t>7.13.</t>
  </si>
  <si>
    <t>Кондиционер настенный 20-25 кв.м. - 3 шт.</t>
  </si>
  <si>
    <t>Кондиционер настенный 90-100 кв.м. - 2 шт.</t>
  </si>
  <si>
    <t>Исключен из программы на основании протокола тех. совещания от 18.02.2014г., в связи ввдом после реконструкции новой насосной станции №1.</t>
  </si>
  <si>
    <t>Стационарный автомоечный аппарат - 1ед.</t>
  </si>
  <si>
    <r>
      <t xml:space="preserve">Служебная записка на  доп.объем от 11.06.14г. на сумму </t>
    </r>
    <r>
      <rPr>
        <b/>
        <sz val="10"/>
        <rFont val="Times New Roman"/>
        <family val="1"/>
        <charset val="204"/>
      </rPr>
      <t>4 687,5</t>
    </r>
    <r>
      <rPr>
        <sz val="10"/>
        <rFont val="Times New Roman"/>
        <family val="1"/>
        <charset val="204"/>
      </rPr>
      <t xml:space="preserve"> тыс. тг. Объявлен электронный конкурс по проведению гос.закупок. Срок подведения итога - 18.07.2014г.</t>
    </r>
  </si>
  <si>
    <t xml:space="preserve">Генератор унифицированного сигнала тока РЗУ - 1 шт. </t>
  </si>
  <si>
    <r>
      <t xml:space="preserve">Выполнение на сумму 3 799 тыс. тенге (55%). Договор заключен с ПКФ «Сириус» на общую сумму 6 924 тыс.тенге, выполнение на 23.06.2014г. составило 3 799 тыс.тенге (55%). Согласно календарному плану договора, работа и оплата за оказанные услуги будет проведена в три этапа: 1-й этап – обеспечение программно-аппаратной платформой на сумму 3 799 тыс.тенге в срок до 30.04.2014г., 2-й этап – разработка технического задания на сумму 1 000 тыс.тенге в срок до </t>
    </r>
    <r>
      <rPr>
        <b/>
        <sz val="10"/>
        <rFont val="Times New Roman"/>
        <family val="1"/>
        <charset val="204"/>
      </rPr>
      <t>31.06.2014г.</t>
    </r>
    <r>
      <rPr>
        <sz val="10"/>
        <rFont val="Times New Roman"/>
        <family val="1"/>
        <charset val="204"/>
      </rPr>
      <t>, 3-й этап – внедрение и промышленная апробация подсистемы на сумму 2 125 тыс.тенге в срок до 20.09.2014г.</t>
    </r>
  </si>
  <si>
    <t>Инверторный аппарат для сварки штучным электродом - 2шт.</t>
  </si>
  <si>
    <r>
      <t xml:space="preserve">Договор заключен с ТОО "Трубокомплект" (№321/09-14 от 05.06.14г.)  на сумму </t>
    </r>
    <r>
      <rPr>
        <b/>
        <sz val="10"/>
        <rFont val="Times New Roman"/>
        <family val="1"/>
        <charset val="204"/>
      </rPr>
      <t xml:space="preserve">6 630,0 </t>
    </r>
    <r>
      <rPr>
        <sz val="10"/>
        <rFont val="Times New Roman"/>
        <family val="1"/>
        <charset val="204"/>
      </rPr>
      <t>тыс. тенге. Срок поставки - 80 календарных дней, т.е. до 27.08.14г.</t>
    </r>
  </si>
  <si>
    <t>Токубаев Р.Б.</t>
  </si>
  <si>
    <t>4.9.</t>
  </si>
  <si>
    <t>4.10.</t>
  </si>
  <si>
    <t>4.11.</t>
  </si>
  <si>
    <t>4.12.</t>
  </si>
  <si>
    <t>6.8.</t>
  </si>
  <si>
    <t>Легковой  автомобиль - 2 ед.</t>
  </si>
  <si>
    <t>5.6.</t>
  </si>
  <si>
    <t>Анализатор растворенного кислорода МАРК-303Т</t>
  </si>
  <si>
    <t>Жамантаева А.</t>
  </si>
  <si>
    <t>Служебная записка на  доп.объем от 25.06.14г. Договор на стадии заключения  на сумму 356 тыс. тенге с ТОО "AILIN.KZ" .Срок поставки 15 календарных дней, т.е. 10.07.14г.</t>
  </si>
  <si>
    <t>Служебная записка на  доп.объем от 25.06.14г. Договор на стадии заключения  на сумму 164 тыс. тенге с ИП "Алисултан".  Срок поставки 15 календарных дней, т.е. 10.07.14г.</t>
  </si>
  <si>
    <t>Гос.закупки способом запроса ценовых предложений 3 раза не состоялись:                                                                                                               1-й раз -22.04.2014г.;                                                                                                 2-й раз - 06.05.2014г.;                                                                                                   3-й раз - 23.06.2014г.                                                                                     Администратор готовит служебную записку на кор-ку плана ГЗ и инвест. программы по увеличению стоимости оборудования.</t>
  </si>
  <si>
    <t>Легковой автомобиль (Skoda) - 2 шт.</t>
  </si>
  <si>
    <r>
      <t xml:space="preserve">Служебная записка на  доп.объем от 25.06.14г. на сумму </t>
    </r>
    <r>
      <rPr>
        <b/>
        <sz val="10"/>
        <rFont val="Times New Roman"/>
        <family val="1"/>
        <charset val="204"/>
      </rPr>
      <t>7 836,5</t>
    </r>
    <r>
      <rPr>
        <sz val="10"/>
        <rFont val="Times New Roman"/>
        <family val="1"/>
        <charset val="204"/>
      </rPr>
      <t xml:space="preserve"> тыс. тг. Объявлен электронный конкурс по проведению гос.закупок. Срок подведения итога - 17.07.2014г.</t>
    </r>
  </si>
  <si>
    <t>Служебная записка на доп.объем. Договор выполнен с ТОО "Ринатэк"  №158/16-13 от 03.09.2013г.</t>
  </si>
  <si>
    <r>
      <t xml:space="preserve">Гос.закупки способом запроса ценовых предложений 3 раза не состоялись. Последнее решение о несостоявшихся закупках от 30.05.2014г. Повторно объявлен конкурс способом запроса ценовых предложений. Срок подведения итога - 02.07.2014г. Конкурс состоялся. Договор на стадии заключения с ИП "BD PARNERS" на сумму </t>
    </r>
    <r>
      <rPr>
        <b/>
        <sz val="10"/>
        <rFont val="Times New Roman"/>
        <family val="1"/>
        <charset val="204"/>
      </rPr>
      <t xml:space="preserve">450,0 </t>
    </r>
    <r>
      <rPr>
        <sz val="10"/>
        <rFont val="Times New Roman"/>
        <family val="1"/>
        <charset val="204"/>
      </rPr>
      <t>тыс. тенге.Срок поставки до 17.07.14г.</t>
    </r>
  </si>
  <si>
    <r>
      <t xml:space="preserve">Заключен договор на сумму </t>
    </r>
    <r>
      <rPr>
        <b/>
        <sz val="10"/>
        <rFont val="Times New Roman"/>
        <family val="1"/>
        <charset val="204"/>
      </rPr>
      <t xml:space="preserve">1 841,4 </t>
    </r>
    <r>
      <rPr>
        <sz val="10"/>
        <rFont val="Times New Roman"/>
        <family val="1"/>
        <charset val="204"/>
      </rPr>
      <t>тыс. тг. с ТОО "Фирма ДИПО-Сервис" №287/09-14 от 19.05.14г. Срок поставки 30 рабочих дней, т.е. до  30.06.14г. (Продлевается срок поставки до 01.07.14г. Будут выставлены штрафные санкции.)</t>
    </r>
  </si>
  <si>
    <r>
      <t xml:space="preserve">Доп.объем, подлежит корректировке. Служебная записка на корректировку плана ГЗ и инвест.программы имеется от 04.07.2014г. На сумму </t>
    </r>
    <r>
      <rPr>
        <b/>
        <sz val="10"/>
        <rFont val="Times New Roman"/>
        <family val="1"/>
        <charset val="204"/>
      </rPr>
      <t>67 560</t>
    </r>
    <r>
      <rPr>
        <sz val="10"/>
        <rFont val="Times New Roman"/>
        <family val="1"/>
        <charset val="204"/>
      </rPr>
      <t xml:space="preserve"> тыс. тг. Вопрос о кор-ке необходимо вынести на тех. совещание.</t>
    </r>
  </si>
  <si>
    <t xml:space="preserve">Стоимость уменьшена на 1 тыс. тенге по результатам проведенных государственных закупок. Договор заключен с ТОО "Арташ  UNION" (№350/23-14 от 27.06.14г., сч.ф. 526 от 11.07.2014г.)  </t>
  </si>
  <si>
    <t>Договор заключен с ТОО "Мир сейфов company" (№ 345/25-14 от 26.06.2014г., сч.ф. 443 от 01.07.2014г.)</t>
  </si>
  <si>
    <t>Служебная записка на  доп.объем от 26.06.14г. на сумму 347 тыс. тг. Договор с ТОО "Бизнес Казына" Срок поставки до 28.07.2014г.</t>
  </si>
  <si>
    <r>
      <t xml:space="preserve">Служебная записка на  доп.объем от 05.06.14г. на сумму </t>
    </r>
    <r>
      <rPr>
        <b/>
        <sz val="10"/>
        <rFont val="Times New Roman"/>
        <family val="1"/>
        <charset val="204"/>
      </rPr>
      <t>4500,0</t>
    </r>
    <r>
      <rPr>
        <sz val="10"/>
        <rFont val="Times New Roman"/>
        <family val="1"/>
        <charset val="204"/>
      </rPr>
      <t xml:space="preserve"> тыс. тг. Объявлен электронный конкурс по проведению гос.закупок. Срок подведения итога - 15.07.2014г. Конкурс не состоялся.</t>
    </r>
  </si>
  <si>
    <r>
      <t xml:space="preserve">Договор заключен с ТОО "ДарСемей" (№349/09-14 от 27.06.14г.) на сумму </t>
    </r>
    <r>
      <rPr>
        <b/>
        <sz val="10"/>
        <rFont val="Times New Roman"/>
        <family val="1"/>
        <charset val="204"/>
      </rPr>
      <t xml:space="preserve">295,4 </t>
    </r>
    <r>
      <rPr>
        <sz val="10"/>
        <rFont val="Times New Roman"/>
        <family val="1"/>
        <charset val="204"/>
      </rPr>
      <t>тыс. тенге. Срок поставки - 15 календарных дней, т.е. до 14.07.14г. Поставка не осуществилась - не соответствует техническим характеристикам. Материалы будут переданы в суд.</t>
    </r>
  </si>
  <si>
    <t>Служебная записка на  доп.объем от 04.07.14г. на сумму 2 714 тыс. тг. Объявлен электронный конкурс по проведению гос.закупок. Срок подведения итога - 30.07.2014г.</t>
  </si>
  <si>
    <t>Источник бесперебойного питания 500VA - 7 шт.</t>
  </si>
  <si>
    <t>Принтер НР Color LaserJet A3 - 1 шт.</t>
  </si>
  <si>
    <t>Источник бесперебойного питания АРС UPS 800VA - 4 шт.</t>
  </si>
  <si>
    <t>Источник бесперебойного питания  АРС UPS 2 200VA - 1 шт.</t>
  </si>
  <si>
    <t>Служебная записка на доп.объем от № 1528 от 11.07.2014г.</t>
  </si>
  <si>
    <t xml:space="preserve"> Договор на стадии заключения с ИП "Риказ" на сумму 5 140,8 тыс. тенге.Срок поставки до 13.08.14г.</t>
  </si>
  <si>
    <t xml:space="preserve"> </t>
  </si>
  <si>
    <t xml:space="preserve">пер.Районный  от ул. Сейфуллина до ул. Ш.Жиенкулова, 2Ду 100-300 мм, протяженность 1267 м трассы </t>
  </si>
  <si>
    <t xml:space="preserve">Общежитие колледжа по ул. Конституции 20 (10, 10б, 10д), 2Ду 50-80 мм, протяженность 88,2 м трассы </t>
  </si>
  <si>
    <t xml:space="preserve">ул. Затаевича 2, 4 (16, 12), 2Ду 70-150 мм, протяженность 308,5 м трассы </t>
  </si>
  <si>
    <t xml:space="preserve">м-он Молодежный 15 (10а), 2Ду 50 мм, протяженность 11 м трассы </t>
  </si>
  <si>
    <t xml:space="preserve">ул. Жирентаева, 15/1 (ПК"ПиК") (м-он 4 ж.д. 21), 2Ду 70 мм, протяженность 24,5 м трассы </t>
  </si>
  <si>
    <t xml:space="preserve">пр. Республики  ж.д. 16 (12) (КСК "Космос"), 2Ду 80 мм, протяженность 77 м трассы                                                                           </t>
  </si>
  <si>
    <t>ул. Г.Алиева, Арасан, 2Ду 50-150 мм, протяженность 421,5 м трассы</t>
  </si>
  <si>
    <t xml:space="preserve">ул. Иманова 10, 10а (14, 16), 2Ду 70-150 мм, протяженность 219 м трассы </t>
  </si>
  <si>
    <t xml:space="preserve">ул. Иманова 12, 14 (18, 20), 2Ду 32-100 мм, протяженность 308,5 м трассы </t>
  </si>
  <si>
    <t>Иманова 16, 18, 18а, б, д (22, 24, 26), 2Ду 32-150 мм, протяженность 301,3 м трассы</t>
  </si>
  <si>
    <t xml:space="preserve">ул. Желтоксан 37, 37/1 (55, 55а), 2Ду 80-150 мм, протяженность 152 м трассы </t>
  </si>
  <si>
    <t>Общежитие по ул. Дукенулы 7, 7а (Дружба 3), 2Ду 70-80 мм, протяженность 84 м трассы</t>
  </si>
  <si>
    <t xml:space="preserve">ул. Ойыл (Квартальная №17, №19),  2Ду 50-80 мм, протяженность 136 м трассы.    </t>
  </si>
  <si>
    <t xml:space="preserve">ул.Крайняя 22, 6, 7, ул. Чехоева 33, 39, 2Ду 50-100 мм, протяженность 453 м трассы.  </t>
  </si>
  <si>
    <t xml:space="preserve">пр. Женис 44а (Победы 100), 2Ду 100-250 мм, протяженность 145,7 м трассы. </t>
  </si>
  <si>
    <t xml:space="preserve">Район 4 жилые дома по ул. Ойыл (Квартальная 12, 13, 15, 16), 2Ду 50-300 мм, протяженность 340 м трассы </t>
  </si>
  <si>
    <t>Северное шоссе 25/1 (Акбидай 29), 2Ду 80 мм, протяженность 89 м трассы</t>
  </si>
  <si>
    <t>36 270                 (289 м трассы)</t>
  </si>
  <si>
    <t xml:space="preserve">Проектирование и реконструция теплотрассы к АО "Астана-Теплотранзит" 2Ду150-250 мм, протяженность 1 009 м трассы </t>
  </si>
  <si>
    <t>Полуавтоматический сварочный аппарат - 2 шт., резчик швов по асфальту - 1 шт., радикально-сверлин. станок - 1 шт., токарный станок - 1 шт.</t>
  </si>
  <si>
    <t>Всего по разделам:</t>
  </si>
  <si>
    <r>
      <t xml:space="preserve">Служебная записка на  доп.объем от 05.06.14г. на сумму </t>
    </r>
    <r>
      <rPr>
        <b/>
        <sz val="9"/>
        <rFont val="Times New Roman"/>
        <family val="1"/>
        <charset val="204"/>
      </rPr>
      <t>4500,0</t>
    </r>
    <r>
      <rPr>
        <sz val="9"/>
        <rFont val="Times New Roman"/>
        <family val="1"/>
        <charset val="204"/>
      </rPr>
      <t xml:space="preserve"> тыс. тг. Объявлен электронный конкурс по проведению гос.закупок. Срок подведения итога - 15.07.2014г. Конкурс не состоялся.</t>
    </r>
  </si>
  <si>
    <r>
      <t xml:space="preserve">Выполнение на сумму 3 799 тыс. тенге (55%). Договор заключен с ПКФ «Сириус» на общую сумму 6 924 тыс.тенге, выполнение на 23.06.2014г. составило 3 799 тыс.тенге (55%). Согласно календарному плану договора, работа и оплата за оказанные услуги будет проведена в три этапа: 1-й этап – обеспечение программно-аппаратной платформой на сумму 3 799 тыс.тенге в срок до 30.04.2014г., 2-й этап – разработка технического задания на сумму 1 000 тыс.тенге в срок до </t>
    </r>
    <r>
      <rPr>
        <b/>
        <sz val="9"/>
        <rFont val="Times New Roman"/>
        <family val="1"/>
        <charset val="204"/>
      </rPr>
      <t>31.06.2014г.</t>
    </r>
    <r>
      <rPr>
        <sz val="9"/>
        <rFont val="Times New Roman"/>
        <family val="1"/>
        <charset val="204"/>
      </rPr>
      <t>, 3-й этап – внедрение и промышленная апробация подсистемы на сумму 2 125 тыс.тенге в срок до 20.09.2014г.</t>
    </r>
  </si>
  <si>
    <r>
      <t xml:space="preserve">Служебной запиской от 17.03.2014г. произведена корректировка: взамен калибратора приобретен </t>
    </r>
    <r>
      <rPr>
        <b/>
        <sz val="9"/>
        <rFont val="Times New Roman"/>
        <family val="1"/>
        <charset val="204"/>
      </rPr>
      <t>генератор</t>
    </r>
    <r>
      <rPr>
        <sz val="9"/>
        <rFont val="Times New Roman"/>
        <family val="1"/>
        <charset val="204"/>
      </rPr>
      <t xml:space="preserve"> унифицированного сигнала тока - 1 шт. </t>
    </r>
  </si>
  <si>
    <t>133                   (100 м трассы)</t>
  </si>
  <si>
    <t>53                         (89 м трассы)</t>
  </si>
  <si>
    <t>121                                   (77 м трассы)</t>
  </si>
  <si>
    <t>% выполнения</t>
  </si>
  <si>
    <t xml:space="preserve">Выполнение на 18.07.2014г.: ПИР - 5 002 тыс. тенге. Договор на услуги по проектированию объектов заключен с ТОО "ВодоКаналПроектАстана"  (№Д 225/11-14 от 08.04.14г.), срок оказания услуг - до 01.07.2014г. </t>
  </si>
  <si>
    <t xml:space="preserve">Выполнение на 18.07.2014г.: ПИР - 2 833 тыс. тенге. Договор на услуги по проектированию объектов заключен с ТОО "ВодоКаналПроектАстана"  (№Д 225/11-14 от 08.04.14г.), срок оказания услуг - до 01.07.2014г. </t>
  </si>
  <si>
    <t>Выполнение на 18.07.2014г.: ПИР - 688 тыс.тенге.                                                                                                                                                      Договор на услуги по проектированию объектов заключен с ТОО "ВодоКаналПроектАстана"  (№Д 225/11-14 от 08.04.14г.), срок оказания услуг - до 01.07.2014г.</t>
  </si>
  <si>
    <t>Выполнение на 18.07.2014г.: ПИР - 1 417 тыс.тенге.                                                                                                                                                      Договор на услуги по проектированию объектов заключен с ТОО "ВодоКаналПроектАстана"  (№Д 225/11-14 от 08.04.14г.), срок оказания услуг - до 01.07.2014г.</t>
  </si>
  <si>
    <t>Выполнение на 18.07.2014г.: ПИР - 4 050 тыс.тенге; СМР и материалы - 47 093 тыс.тенге.                                                                                                                                                      Договор на услуги по проектированию объектов заключен с ТОО "ВодоКаналПроектАстана"  (№Д 225/11-14 от 08.04.14г.), срок оказания услуг - до 01.07.2014г.</t>
  </si>
  <si>
    <t>Проектирование и реконструкция теплотрассы 2Ду 100-400 мм от ул.Алиева в границах ул.Арасан и ул.Алпамыс в пос."Энергетик", протяженность 348,8 м трассы</t>
  </si>
  <si>
    <t>70 286               (253 м трассы)</t>
  </si>
  <si>
    <t>49 765           (998,2 м трассы)</t>
  </si>
  <si>
    <t>1 115                (24,5 м трассы)</t>
  </si>
  <si>
    <t>245 317                (761 м трассы)</t>
  </si>
  <si>
    <t>Выполнение на 18.07.2014г.: ПИР -14 тыс.тенге.                                                                                                                                              Договор на услуги по проектированию объектов заключен с ТОО "Павлодарэнергопроект"№ 225/11-13 от 08.04.2013г.                                                                   СМР - 1 133 тыс.тенге.                                                                                                                Договор на СМР с ТОО "Ырыс-Батыс 3" № 227/11-14 от 08.04.2014г.</t>
  </si>
  <si>
    <t>4 690                            (88,2 м трассы)</t>
  </si>
  <si>
    <t xml:space="preserve">ул. Акжайык 20/1, 2Ду 80 мм, протяженность 66,1 м трассы </t>
  </si>
  <si>
    <t>Выполнение на 18.07.2014г.: ПИР - 2 930 тыс.тенге.                                                                                                                                              Договор на услуги по проектированию объектов заключен с ТОО "Павлодарэнергопроект"№ 225/11-13 от 08.04.2013г.                                                СМР - 12 309 тыс. тенге.                                                                               Договор с ТОО "Макс-Тон" № 275/11-14 от 12.05.2014г.</t>
  </si>
  <si>
    <t>Выполнение на 18.07.2014г.: ПИР - 504 тыс.тенге.                                                                                                                                              Договор на услуги по проектированию объектов заключен с ТОО "Павлодарэнергопроект"№ 225/11-13 от 08.04.2013г.                                          Договор на СМР с ТОО "Ұлытау жолдары" №197/11-14 от 19.03.2014г.</t>
  </si>
  <si>
    <t>Выполнение на 18.07.2014г.: ПИР - 403 тыс.тенге.                                                                                                                                              Договор на услуги по проектированию объектов заключен с ТОО "Павлодарэнергопроект"№ 225/11-13 от 08.04.2013г .                                  Договор на СМР с ТОО "Ұлытау жолдары" №197/11-14 от 19.03.2014г.</t>
  </si>
  <si>
    <t>Выполнение на 18.07.2014г.: ПИР - 250 тыс.тенге. Договор на услуги по проектированию объектов заключен с ТОО "Павлодарэнергопроект"№ 225/11-13 от 08.04.2013г.                                                                                               Договор на СМР с ТОО "Ырыс-Батыс 3" № 227/11-14 от 08.04.2014г.</t>
  </si>
  <si>
    <t>Выполнение на 18.07.2014г.: ПИР - 121 тыс.тенге.                                                                                                                                              Договор на услуги по проектированию объектов заключен с ТОО "Павлодарэнергопроект"№ 225/11-13 от 08.04.2013г.                                                    Договор на СМР с ТОО "Ұлытау жолдары" №197/11-14 от 19.03.2014г.</t>
  </si>
  <si>
    <t>Выполнение на 18.07.2014г.: ПИР - 392 тыс.тенге.                                                                                                                                              Договор на услуги по проектированию объектов заключен с ТОО "Павлодарэнергопроект"№ 225/11-13 от 08.04.2013г..                                                Договор на СМР с ТОО "Астана ПСМ" №168/11-14 от 05.03.2014г.</t>
  </si>
  <si>
    <t>Выполнение на 18.07.2014г.: ПИР - 6 тыс.тенге.                                                                                                                                              Договор на услуги по проектированию объектов заключен с ТОО "Павлодарэнергопроект"№ 225/11-13 от 08.04.2013г.                                       СМР - 1 109 тыс. тенге.                                                                                                Договор на СМР с ТОО "Ырыс-Батыс 3" № 227/11-14 от 08.04.2014г.</t>
  </si>
  <si>
    <t>Выполнение на 18.07.2014г.: ПИР -74 тыс.тенге.                                                                                                                                              Договор на услуги по проектированию объектов заключен с ТОО "Павлодарэнергопроект"№ 225/11-13 от 08.04.2013г.                                                           Договор на СМР с ТОО "Ырыс-Батыс 3" № 227/11-14 от 08.04.2014г.</t>
  </si>
  <si>
    <t>Выполнение на 18.07.2014г.: ПИР - 495 тыс.тенге.                                                                                                                                              Договор на услуги по проектированию объектов заключен с ТОО "Павлодарэнергопроект"№ 225/11-13 от 08.04.2013г..                                                     Договор на СМР с ТОО "Астана ПСМ" №168/11-14 от 05.03.2014г.</t>
  </si>
  <si>
    <t>Выполнение на 18.07.2014г.: ПИР -31 тыс.тенге.                                                                                                                                              Договор на услуги по проектированию объектов заключен с ТОО "Павлодарэнергопроект"№ 225/11-13 от 08.04.2013г.                                                  Договор на СМР с ТОО "Ырыс-Батыс 3" № 227/11-14 от 08.04.2014г.</t>
  </si>
  <si>
    <t>Выполнение на 18.07.2014г.: ПИР -67 тыс.тенге.                                                                                                                                              Договор на услуги по проектированию объектов заключен с ТОО "Павлодарэнергопроект"№ 225/11-13 от 08.04.2013г.                                       СМР - 4 624 тыс. тенге.                                                                                                 Договор на СМР с ТОО "Ырыс-Батыс 3" № 227/11-14 от 08.04.2014г.</t>
  </si>
  <si>
    <t>Выполнение на 18.07.2014г.: ПИР - 133 тыс.тенге.                                                                                                                                              Договор на услуги по проектированию объектов заключен с ТОО "Павлодарэнергопроект"№ 225/11-13 от 08.04.2013г..                                                          Договор на СМР с ТОО "Астана ПСМ" №168/11-14 от 05.03.2014г.</t>
  </si>
  <si>
    <t>Выполнение на 18.07.2014г.: ПИР - 53 тыс.тенге.                                                                                                                                              Договор на услуги по проектированию объектов заключен с ТОО "Павлодарэнергопроект"№ 225/11-13 от 08.04.2013г..                                                         Договор на СМР с ТОО "Астана ПСМ" №168/11-14 от 05.03.2014г.</t>
  </si>
  <si>
    <t>Выполнение на 18.07.2014г.: ПИР - 550 тыс.тенге.                                                                                                                                              Договор на услуги по проектированию объектов заключен с ТОО "Павлодарэнергопроект"№ 225/11-13 от 08.04.2013г..                                            Договор на СМР с ТОО "Астана ПСМ" №168/11-14 от 05.03.2014г.</t>
  </si>
  <si>
    <t>Выполнение на 18.07.2014г.: ПИР -453 тыс.тенге.                                                                                                                                              Договор на услуги по проектированию объектов заключен с ТОО "Павлодарэнергопроект"№ 225/11-13 от 08.04.2013г.                                             Договор на СМР с ТОО "Ырыс-Батыс 3" № 227/11-14 от 08.04.2014г.</t>
  </si>
  <si>
    <r>
      <t>ул. Брусиловского  ж.д. 14/1 (60), 14/2 (62), 14/3 (64), 2Ду 50-80 мм, протяженность 389,8</t>
    </r>
    <r>
      <rPr>
        <sz val="9"/>
        <color rgb="FFC00000"/>
        <rFont val="Times New Roman"/>
        <family val="1"/>
        <charset val="204"/>
      </rPr>
      <t xml:space="preserve"> </t>
    </r>
    <r>
      <rPr>
        <sz val="9"/>
        <rFont val="Times New Roman"/>
        <family val="1"/>
        <charset val="204"/>
      </rPr>
      <t>м трассы</t>
    </r>
  </si>
  <si>
    <r>
      <t xml:space="preserve">15 239              </t>
    </r>
    <r>
      <rPr>
        <sz val="9"/>
        <color theme="1"/>
        <rFont val="Times New Roman"/>
        <family val="1"/>
        <charset val="204"/>
      </rPr>
      <t xml:space="preserve"> (300 м трассы)</t>
    </r>
  </si>
  <si>
    <t>1 147                   (11 м трассы)</t>
  </si>
  <si>
    <t>23 328               (308,5 м трассы)</t>
  </si>
  <si>
    <t>Выполнение на 18.07.2014г.: ПИР - 1 770 тыс.тенге; СМР и материалы -             34 500 тыс.тенге.                                                                                                                                                      Договор на услуги по проектированию объектов заключен с ТОО "ВодоКаналПроектАстана"  (№Д 225/11-14 от 08.04.14г.), срок оказания услуг - до 01.07.2014г.</t>
  </si>
  <si>
    <t>Выполнение на 18.07.2014г.: ПИР - 5 286 тыс.тенге, СМР и материалы -            65 000 тыс.тенге.                                                                                                                                                      Договор на услуги по проектированию объектов заключен с ТОО "ВодоКаналПроектАстана"  (№Д 225/11-14 от 08.04.14г.), срок оказания услуг - до 01.07.2014г.</t>
  </si>
  <si>
    <t>Выполнение на 18.07.2014г.: ПИР -241 тыс.тенге.                                                                                                                                              Договор на услуги по проектированию объектов заключен с ТОО "Павлодарэнергопроект"№ 225/11-13 от 08.04.2013г.                                       Договор на СМР с ТОО "Ырыс-Батыс 3" № 227/11-14 от 08.04.2014г.</t>
  </si>
  <si>
    <t>448 528                                      (4 882,1 м трассы)</t>
  </si>
  <si>
    <t>440 139                                    ( 2 923,5 м трассы)</t>
  </si>
  <si>
    <t>Договор заключен 12.06.2014г. с ТОО "Бёмер Арматурен Казахстан" на сумму 77 178 тыс. тенге. Превышение по закупу арматуры на 16 971 тыс.тенге произошло в связи с ростом цены. Стоимость была увеличена после несостоявшихся гос.закупок (2-х раз). Выполнение СМР (зарплата, транспорт) - 500,0 тыс. тенге.</t>
  </si>
  <si>
    <t>Гос.закупки способом запроса ценовых предложений 3 раза не состоялись: Администратор готовит служебную записку на кор-ку плана ГЗ и инвест. программы по увеличению стоимости оборудования. Возможен перенос закупа в связи с большим сроком поставки (позже 1 окт.2014г.)</t>
  </si>
  <si>
    <r>
      <t xml:space="preserve">Заключен договор на сумму </t>
    </r>
    <r>
      <rPr>
        <b/>
        <sz val="9"/>
        <rFont val="Times New Roman"/>
        <family val="1"/>
        <charset val="204"/>
      </rPr>
      <t xml:space="preserve">1 841,4 </t>
    </r>
    <r>
      <rPr>
        <sz val="9"/>
        <rFont val="Times New Roman"/>
        <family val="1"/>
        <charset val="204"/>
      </rPr>
      <t>тыс. тг. с ТОО "Фирма ДИПО-Сервис" №287/09-14 от 19.05.14г. Срок поставки 30 рабочих дней, т.е. до  30.06.14г. Просрочка по поставке, выслано уведомление поставщику о нарушении срока поставки.</t>
    </r>
  </si>
  <si>
    <t>Служебная записка на  доп.объем от 04.07.14г. на сумму 2 714 тыс. тг. Объявлен электронный конкурс по проведению гос.закупок. Срок подведения итогов - 30.07.2014г.</t>
  </si>
  <si>
    <t>- 194 822                          (2 162,5 м трассы)</t>
  </si>
  <si>
    <t>Служебная записка на  доп.объем от 25.06.14г. Договор на стадии заключения  на сумму 356 тыс. тенге с ТОО "AILIN.KZ". Срок поставки 15 календарных дней.</t>
  </si>
  <si>
    <r>
      <t xml:space="preserve">Договор заключен с ТОО "Трубокомплект" (№321/09-14 от 05.06.14г.)  на сумму </t>
    </r>
    <r>
      <rPr>
        <b/>
        <sz val="9"/>
        <rFont val="Times New Roman"/>
        <family val="1"/>
        <charset val="204"/>
      </rPr>
      <t xml:space="preserve">6 630,0 </t>
    </r>
    <r>
      <rPr>
        <sz val="9"/>
        <rFont val="Times New Roman"/>
        <family val="1"/>
        <charset val="204"/>
      </rPr>
      <t>тыс. тенге. Срок поставки - 80 календарных дней, т.е. до 24.08.14г.</t>
    </r>
  </si>
  <si>
    <r>
      <t xml:space="preserve">Договор заключен с ТОО "ДарСемей" (№349/09-14 от 27.06.14г.) на сумму </t>
    </r>
    <r>
      <rPr>
        <b/>
        <sz val="9"/>
        <rFont val="Times New Roman"/>
        <family val="1"/>
        <charset val="204"/>
      </rPr>
      <t xml:space="preserve">295,4 </t>
    </r>
    <r>
      <rPr>
        <sz val="9"/>
        <rFont val="Times New Roman"/>
        <family val="1"/>
        <charset val="204"/>
      </rPr>
      <t>тыс. тенге. Срок поставки - 15 календарных дней, т.е. до 14.07.14г. Поставка не осуществилась - не соответствует техническим характеристикам. Материалы для суда переданы в юридический отдел.</t>
    </r>
  </si>
  <si>
    <t>Выполнение на 18.07.2014г.: ПИР -421 тыс.тенге;                                                                                                                                                                                              Договор на услуги по проектированию объектов заключен с ТОО "Павлодарэнергопроект"№ 225/11-13 от 08.04.2013г.                                          СМР - 22 907 тыс. тенге.                                                                                                               Договор на СМР с ТОО "Ырыс-Батыс 3" № 227/11-14 от 08.04.2014г.</t>
  </si>
  <si>
    <t>Выполнение на 18.07.2014г.: ПИР - 544 тыс.тенге.                                                                                                                                              Договор на услуги по проектированию объектов заключен с ТОО "Павлодарэнергопроект"№ 225/11-13 от 08.04.2013г.                                                                      Договор на СМР с ТОО "Ұлытау жолдары" №197/11-14 от 19.03.2014г.</t>
  </si>
  <si>
    <r>
      <t xml:space="preserve">Договор заключен с ИП "BD PARNERS"(№ 379/09-14 от 15.07.2014г.) на сумму </t>
    </r>
    <r>
      <rPr>
        <b/>
        <sz val="9"/>
        <rFont val="Times New Roman"/>
        <family val="1"/>
        <charset val="204"/>
      </rPr>
      <t xml:space="preserve">450,0 </t>
    </r>
    <r>
      <rPr>
        <sz val="9"/>
        <rFont val="Times New Roman"/>
        <family val="1"/>
        <charset val="204"/>
      </rPr>
      <t>тыс. тенге.Срок поставки до 30.07.14г.</t>
    </r>
  </si>
  <si>
    <t>Договор с ТОО "Бизнес Казына"(№377/18 от 14.07.2014г.) Срок поставки до 29.07.2014г.</t>
  </si>
  <si>
    <t xml:space="preserve"> Договор на стадии заключения с ИП "Риказ" на сумму 5 140,8 тыс. тенге. Договор отправлен поставщику 16.07.14г. (срок поставки с момента регистрации договора в течении 20 рабочих дней).</t>
  </si>
  <si>
    <t>Служебная записка на  доп.объем от 25.06.14г. Договор с ИП "Алисултан"(№ 366/25-14 от 09.04.2014г.  Срок поставки 15 календарных дней, т.е. 25.07.14г.</t>
  </si>
  <si>
    <r>
      <t xml:space="preserve">Служебная записка на  доп.объем от 25.06.14г. на сумму </t>
    </r>
    <r>
      <rPr>
        <b/>
        <sz val="9"/>
        <rFont val="Times New Roman"/>
        <family val="1"/>
        <charset val="204"/>
      </rPr>
      <t>7 836,5</t>
    </r>
    <r>
      <rPr>
        <sz val="9"/>
        <rFont val="Times New Roman"/>
        <family val="1"/>
        <charset val="204"/>
      </rPr>
      <t xml:space="preserve"> тыс. тг. Объявлен электронный конкурс по проведению гос.закупок. Срок подведения итога - 17.07.2014г. (ТОО "Арташ  UNION" )</t>
    </r>
  </si>
  <si>
    <t>по состоянию на 15.07.2014г.</t>
  </si>
  <si>
    <t>51 143                 (219 м трассы)</t>
  </si>
  <si>
    <t>на 01.07.2014г.</t>
  </si>
  <si>
    <t>Выполнение на 18.07.2014г.: ПИР -14 тыс.тенге.                                                                                                                                              Договор на услуги по проектированию объектов заключен с ТОО "Павлодарэнергопроект"№ 225/11-13 от 08.04.2013г.                                                                   СМР - 1 204 тыс.тенге.                                                                                                                Договор на СМР с ТОО "Ырыс-Батыс 3" № 227/11-14 от 08.04.2014г.</t>
  </si>
  <si>
    <t>Выполнение на 18.07.2014г.: ПИР - 6 тыс.тенге.                                                                                                                                              Договор на услуги по проектированию объектов заключен с ТОО "Павлодарэнергопроект"№ 225/11-13 от 08.04.2013г.                                       СМР - 1 179 тыс. тенге.                                                                                                Договор на СМР с ТОО "Ырыс-Батыс 3" № 227/11-14 от 08.04.2014г.</t>
  </si>
  <si>
    <t>Выполнение на 18.07.2014г.: ПИР -67 тыс.тенге.                                                                                                                                              Договор на услуги по проектированию объектов заключен с ТОО "Павлодарэнергопроект"№ 225/11-13 от 08.04.2013г.                                       СМР - 4 912 тыс. тенге.                                                                                                 Договор на СМР с ТОО "Ырыс-Батыс 3" № 227/11-14 от 08.04.2014г.</t>
  </si>
  <si>
    <t>Выполнение на 18.07.2014г.: ПИР -421 тыс.тенге;                                                                                                                                                                                              Договор на услуги по проектированию объектов заключен с ТОО "Павлодарэнергопроект"№ 225/11-13 от 08.04.2013г.                                          СМР - 24 341 тыс. тенге.                                                                                                               Договор на СМР с ТОО "Ырыс-Батыс 3" № 227/11-14 от 08.04.2014г.</t>
  </si>
  <si>
    <t>Выполнение на 18.07.2014г.: ПИР - 495 тыс.тенге.                                                                                                                                   Договор на услуги по проектированию объектов заключен с ТОО "Павлодарэнергопроект"№ 225/11-13 от 08.04.2013г.                                     СМР-12 309 тыс. тенге.                                                                                                        Договор  на СМР с  ТОО "Астана ПСМ" №168/11-14 от 05.03.2014г.</t>
  </si>
  <si>
    <t>Выполнение на 18.07.2014г.: ПИР -74 тыс.тенге.                                                                                                                                              Договор на услуги по проектированию объектов заключен с ТОО "Павлодарэнергопроект"№ 225/11-13 от 08.04.2013г.                                                                                                       Договор на СМР с ТОО "Ырыс-Батыс 3" № 227/11-14 от 08.04.2014г.</t>
  </si>
  <si>
    <t>в том числе:(ТМ-8-вып-е 4 кв-ла 12 563 тыс. тенге)</t>
  </si>
  <si>
    <t>Выполнение на 18.07.2014г.: ПИР - 4 050 тыс.тенге; СМР и материалы - 41 661 тыс.тенге.                                                                                                                                                      Договор на услуги по проектированию объектов заключен с ТОО "ВодоКаналПроектАстана"  (№Д 225/11-14 от 08.04.14г.), срок оказания услуг - до 01.07.2014г.</t>
  </si>
  <si>
    <t>Выполнение на 18.07.2014г.: ПИР - 121 тыс.тенге.                                                                                                                                              Договор на услуги по проектированию объектов заключен с ТОО "Павлодарэнергопроект"№ 225/11-13 от 08.04.2013г.                                                    Договор на СМР с ТОО "Ұлытау жолдары-2030" №197/11-14 от 19.03.2014г.</t>
  </si>
  <si>
    <t>Выполнение на 18.07.2014г.: ПИР - 403 тыс.тенге.                                                                                                                                              Договор на услуги по проектированию объектов заключен с ТОО "Павлодарэнергопроект"№ 225/11-13 от 08.04.2013г .                                  Договор на СМР с ТОО "Ұлытау жолдары-2030" №197/11-14 от 19.03.2014г.</t>
  </si>
  <si>
    <t>Выполнение на 18.07.2014г.: ПИР - 544 тыс.тенге.                                                                                                                                              Договор на услуги по проектированию объектов заключен с ТОО "Павлодарэнергопроект"№ 225/11-13 от 08.04.2013г.                                                                      Договор на СМР с ТОО "Ұлытау жолдары-2030" №197/11-14 от 19.03.2014г.</t>
  </si>
  <si>
    <t>Выполнение на 18.07.2014г.: ПИР - 504 тыс.тенге.                                                                                                                                              Договор на услуги по проектированию объектов заключен с ТОО "Павлодарэнергопроект"№ 225/11-13 от 08.04.2013г.                                          Договор на СМР с ТОО "Ұлытау жолдары-2030" №197/11-14 от 19.03.2014г.</t>
  </si>
  <si>
    <r>
      <t xml:space="preserve">Служебная записка на  доп.объем от 25.06.14г. на сумму </t>
    </r>
    <r>
      <rPr>
        <b/>
        <sz val="9"/>
        <rFont val="Times New Roman"/>
        <family val="1"/>
        <charset val="204"/>
      </rPr>
      <t>7 836,5</t>
    </r>
    <r>
      <rPr>
        <sz val="9"/>
        <rFont val="Times New Roman"/>
        <family val="1"/>
        <charset val="204"/>
      </rPr>
      <t xml:space="preserve"> тыс. тг. Объявлен электронный конкурс по проведению гос.закупок. Срок подведения итога - 17.07.2014г. (ТОО "Арташ  UNION" приглашается как из одного источника)</t>
    </r>
  </si>
  <si>
    <r>
      <t xml:space="preserve">Служебная записка на  доп.объем от 11.06.14г. на сумму </t>
    </r>
    <r>
      <rPr>
        <b/>
        <sz val="9"/>
        <rFont val="Times New Roman"/>
        <family val="1"/>
        <charset val="204"/>
      </rPr>
      <t>4 687,5</t>
    </r>
    <r>
      <rPr>
        <sz val="9"/>
        <rFont val="Times New Roman"/>
        <family val="1"/>
        <charset val="204"/>
      </rPr>
      <t xml:space="preserve"> тыс. тг. Объявлен электронный конкурс по проведению гос.закупок. Срок подведения итога - 18.07.2014г. Конкурс не состоялся. Повторно будет объявлен конкурс.</t>
    </r>
  </si>
  <si>
    <t>ОПЕРАТИВНО (на 21.07.2014г.)</t>
  </si>
  <si>
    <t xml:space="preserve"> Договор на стадии заключения с ИП "Риказ" на сумму 5 140,8 тыс. тенге. Договор отправлен поставщику 16.07.14г. (срок поставки с момента регистрации договора в течении 20 рабочих дней). Срок поставки - 14.08.2014г.</t>
  </si>
  <si>
    <r>
      <t xml:space="preserve">Служебная записка на  доп.объем от 11.06.14г. на сумму </t>
    </r>
    <r>
      <rPr>
        <b/>
        <sz val="9"/>
        <rFont val="Times New Roman"/>
        <family val="1"/>
        <charset val="204"/>
      </rPr>
      <t>4 687,5</t>
    </r>
    <r>
      <rPr>
        <sz val="9"/>
        <rFont val="Times New Roman"/>
        <family val="1"/>
        <charset val="204"/>
      </rPr>
      <t xml:space="preserve"> тыс. тг. Объявлен электронный конкурс по проведению гос.закупок. Срок подведения итога - 18.07.2014г. Конкурс не состоялся. Повторно объявлен конкурс.</t>
    </r>
  </si>
  <si>
    <t>за 2-квартал 2014г.</t>
  </si>
  <si>
    <t>Раздел 3.Замена устаревшего и приобретение нового оборудования</t>
  </si>
  <si>
    <t>Самовсасывающий центробежный насос - 1 ед.</t>
  </si>
  <si>
    <t>Резервное электроснабжение существующей НС №5, расположенной на территории производственной базы по ул. Жансугурова 7 (2-х каб.линий протяж. 1 960 м.)</t>
  </si>
  <si>
    <t xml:space="preserve">План </t>
  </si>
  <si>
    <t>Эл. двигатель - 1 ед.</t>
  </si>
  <si>
    <t>Резчик швов - 1ед.</t>
  </si>
  <si>
    <t>Бензиновый электрогенератор - 1 ед.</t>
  </si>
  <si>
    <t>Установка для стыковой сварки труб-оболочек - 1ед.</t>
  </si>
  <si>
    <t>Системный блок 3,00GHz  с операционной системой и программным обеспечением, Windows XP и выше (Professionals), Office 2007 и выше (Professionals), клавиатура, мышь - 7 ед.</t>
  </si>
  <si>
    <t>ЖК монитор -7 ед.</t>
  </si>
  <si>
    <t>Принтер лазерный,  формат А4, тип печати: черно-белый - 3 ед.</t>
  </si>
  <si>
    <t>Сетевое оборудование Switch 24-port, 10/100/1000D-Link - 1 ед.</t>
  </si>
  <si>
    <t>Информационная система управления производства - 1 ед.(Автоматизированная система управления производством (АСУП) ТГИД-07 )</t>
  </si>
  <si>
    <t>Сканер протяжной с автоматическим устройством подачи документов - 1 ед.</t>
  </si>
  <si>
    <t>Сканер протяжной, скорость сканирования до 45 стр/мин, 90 изображений в минуту -2 ед.</t>
  </si>
  <si>
    <t>Сетевое оборудование: маршрутизатор (роутер)- 1 ед.</t>
  </si>
  <si>
    <t>Принтер НР Color LaserJet A3 - 1 ед.</t>
  </si>
  <si>
    <t>Источник бесперебойного питания 500VA - 7 ед.</t>
  </si>
  <si>
    <t>Источник бесперебойного питания АРС UPS 800VA - 4 ед.</t>
  </si>
  <si>
    <t>Источник бесперебойного питания АРС UPS 2 200VA - 1 ед.</t>
  </si>
  <si>
    <t>Гидравлическая помпа для сравнительной калибровки - 1 ед.</t>
  </si>
  <si>
    <t>Генератор унифицированного сигнала тока РЗУ - 1 ед.</t>
  </si>
  <si>
    <t>УСПД (устройство сбора и передачи данных) - 228 ед.</t>
  </si>
  <si>
    <t>Кондиционер настенный 35-40 кв.м. - 1 ед.</t>
  </si>
  <si>
    <t>Кондиционер с монтажем - 2 ед.</t>
  </si>
  <si>
    <t>Стол рабочий - 6ед.</t>
  </si>
  <si>
    <t>Стол компьютерный - 4 ед.</t>
  </si>
  <si>
    <t>Шкаф для документов - 5 ед.</t>
  </si>
  <si>
    <t>Шкаф картотечный -1 ед.</t>
  </si>
  <si>
    <t>Диспенсер напольный с шкафом - 4 ед.</t>
  </si>
  <si>
    <t>Кресло офисное - 10 ед.</t>
  </si>
  <si>
    <t>Шкаф металлический ШРМ 22 м- 10 ед.</t>
  </si>
  <si>
    <t>Кресло руководителя - 1 ед.</t>
  </si>
  <si>
    <t>Ручной сварочный экструдер - 5 ед.</t>
  </si>
  <si>
    <t>Машина и агрегат для приготовления предполимера - 1 ед.</t>
  </si>
  <si>
    <t>Установка систем теплового учета (СТУ) на тепловых узлах многоквартирных жилых домов - 569 комп.</t>
  </si>
  <si>
    <t>Анализатор растворенного кислорода МАРК-303Т - 1 ед.</t>
  </si>
  <si>
    <t>Одноосный прицепной самовсасывающий центробежный насос с дизельным приводом - 1 ед.</t>
  </si>
  <si>
    <t>Экскаватор  - 1 ед.</t>
  </si>
  <si>
    <t>Оборудование автозаправочных станций- 1 ед.</t>
  </si>
  <si>
    <t>Корпоративные мобильные телефоны - 36 ед.</t>
  </si>
  <si>
    <t>не включен в итог-  165 тыс.тг.</t>
  </si>
  <si>
    <t>Конденсаторная установка автоматической компенсации реактивной мощности - 1ед.</t>
  </si>
  <si>
    <t xml:space="preserve">Проектирование и реконструкция теплотрассы 2Ду 400 мм по ул. Иманова 1, протяженность 618 м.п. трассы </t>
  </si>
  <si>
    <t>Проектирование и реконструкция тепломагистрали  ТМ-1,  2Ду 1000 мм , протяженность 382,5 м.п. трассы</t>
  </si>
  <si>
    <t>Всего по разделам АО "Астана-Теплотранзит"</t>
  </si>
  <si>
    <t xml:space="preserve">Всего по 7 разделам </t>
  </si>
  <si>
    <t>Шкаф для одежды свыдвижной штангой - 4 ед.</t>
  </si>
  <si>
    <t>Кондиционербытовой автономный - 2 ед.</t>
  </si>
  <si>
    <t>Кондиционер настенный 20-25 кв.м. - 4 ед.</t>
  </si>
  <si>
    <t xml:space="preserve">Самосвал 13 т- 1 ед. </t>
  </si>
  <si>
    <t xml:space="preserve">Проектирование и реконструция теплотрассы к АО "Астана-Теплотранзит" 2Ду 150-250 мм, протяженность 1 009 м.п. трассы </t>
  </si>
  <si>
    <t xml:space="preserve">Проектирование и реконструкция теплотрассы  2Ду 100-150 мм к СШ №3, протяженность 145 м.п. трассы </t>
  </si>
  <si>
    <t>Проектирование и реконструкция тепломагистрали ТМ-8, 2Ду 300-400 мм, протяженность  794 м.п. трассы</t>
  </si>
  <si>
    <r>
      <t>ул. Брусиловского  ж.д. 14/1 (60), 14/2 (62), 14/3 (64), 2Ду 50-80 мм, протяженность 203,3</t>
    </r>
    <r>
      <rPr>
        <sz val="10"/>
        <color rgb="FFC0000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м.п. трассы</t>
    </r>
  </si>
  <si>
    <t xml:space="preserve">пр. Республики  ж.д. 16 (12) (КСК "Космос"), 2Ду 80 мм, протяженность 78 м.п. трассы                                                                           </t>
  </si>
  <si>
    <t>ул. Г.Алиева, Арасан, 2Ду 50-150 мм, протяженность 421,5 м.п. трассы</t>
  </si>
  <si>
    <t xml:space="preserve">ул. Иманова 10, 10а (14, 16), 2Ду 70-150 мм, протяженность 226 м.п. трассы </t>
  </si>
  <si>
    <t xml:space="preserve">ул. Иманова 12, 14 (18, 20), 2Ду 32-100 мм, протяженность 340 м.п. трассы </t>
  </si>
  <si>
    <t>Иманова 16, 18, 18а, б, д (22, 24, 26), 2Ду 32-150 мм, протяженность 314,8 м.п. трассы</t>
  </si>
  <si>
    <t xml:space="preserve">пер.Районный  от ул. Сейфуллина до ул. Ш.Жиенкулова, 2Ду 100-300 мм, протяженность 1267 м.п. трассы </t>
  </si>
  <si>
    <t xml:space="preserve">м-он Молодежный 15 (10а), 2Ду 50 мм, протяженность 11 м.п. трассы </t>
  </si>
  <si>
    <t xml:space="preserve">ул. Жирентаева, 15/1 (ПК"ПиК") (м-он 4 ж.д. 21), 2Ду 70 мм, протяженность 24,5 м.п. трассы </t>
  </si>
  <si>
    <t xml:space="preserve">ул. Желтоксан 37, 37/1 (55, 55а), 2Ду 80-150 мм, протяженность 155 м.п. трассы </t>
  </si>
  <si>
    <t>Общежитие по ул. Дукенулы 7, 7а (Дружба 3), 2Ду 70-80 мм, протяженность 88 м.п. трассы</t>
  </si>
  <si>
    <t xml:space="preserve">Район 4 жилые дома по ул. Ойыл (Квартальная 12, 13, 15, 16), 2Ду 50-300 мм, протяженность 340,1 м.п. трассы </t>
  </si>
  <si>
    <t xml:space="preserve">ул. Акжайык 20/1, 2Ду 80 мм, протяженность 66,1 м.п. трассы </t>
  </si>
  <si>
    <t xml:space="preserve">Общежитие колледжа по ул. Конституции 20 (10, 10б, 10д), 2Ду 50-80 мм, протяженность 90 м.п. трассы </t>
  </si>
  <si>
    <t xml:space="preserve">ул. Затаевича 2, 4 (16, 12), 2Ду 70-150 мм, протяженность 321,5 м.п. трассы </t>
  </si>
  <si>
    <t xml:space="preserve">ул. Ойыл (Квартальная №17, №19),  2Ду 50-80 мм, протяженность 133 м.п. трассы.    </t>
  </si>
  <si>
    <t>Северное шоссе 25/1 (Акбидай 29), 2Ду 80 мм, протяженность 105,8 м.п. трассы</t>
  </si>
  <si>
    <t xml:space="preserve">ул.Крайняя 22, 6, 7, ул. Чехоева 33, 39, 2Ду 50-100 мм, протяженность 295 м.п. трассы.  </t>
  </si>
  <si>
    <t xml:space="preserve">пр. Женис 44а (Победы 100), 2Ду 100-250 мм, протяженность 159 м.п. трассы. </t>
  </si>
  <si>
    <t>Проектирование и реконструкция теплотрассы 2Ду 50-150 мм от ул.Алиева в границах ул.Арасан и ул.Алпамыс в пос."Энергетик", протяженность 387 м.п. трассы</t>
  </si>
  <si>
    <t xml:space="preserve">Факт </t>
  </si>
  <si>
    <t xml:space="preserve"> (тыс. тенге без НДС)</t>
  </si>
  <si>
    <t>Отклонение, тыс. т енге</t>
  </si>
  <si>
    <t xml:space="preserve">Анализ выполнения инвестиционной программы АО "Астана-Теплотранзит" </t>
  </si>
</sst>
</file>

<file path=xl/styles.xml><?xml version="1.0" encoding="utf-8"?>
<styleSheet xmlns="http://schemas.openxmlformats.org/spreadsheetml/2006/main">
  <numFmts count="8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#,##0_р_."/>
    <numFmt numFmtId="165" formatCode="_-* #,##0.00&quot;р.&quot;_-;\-* #,##0.00&quot;р.&quot;_-;_-* \-??&quot;р.&quot;_-;_-@_-"/>
    <numFmt numFmtId="166" formatCode="#,##0_т_г_."/>
    <numFmt numFmtId="167" formatCode="0.0"/>
    <numFmt numFmtId="168" formatCode="#,##0.0"/>
    <numFmt numFmtId="169" formatCode="#,##0.000"/>
  </numFmts>
  <fonts count="47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0"/>
      <name val="Calibri"/>
      <family val="2"/>
      <charset val="204"/>
      <scheme val="minor"/>
    </font>
    <font>
      <sz val="12"/>
      <color theme="0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b/>
      <sz val="10"/>
      <color theme="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7"/>
      <name val="Arial"/>
      <family val="2"/>
      <charset val="204"/>
    </font>
    <font>
      <b/>
      <sz val="12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u/>
      <sz val="10"/>
      <name val="Times New Roman"/>
      <family val="1"/>
      <charset val="204"/>
    </font>
    <font>
      <sz val="10"/>
      <name val="Calibri"/>
      <family val="2"/>
      <charset val="204"/>
      <scheme val="minor"/>
    </font>
    <font>
      <sz val="8"/>
      <name val="Times New Roman"/>
      <family val="1"/>
      <charset val="204"/>
    </font>
    <font>
      <sz val="10"/>
      <color rgb="FFC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sz val="9"/>
      <name val="Times New Roman"/>
      <family val="1"/>
      <charset val="204"/>
    </font>
    <font>
      <i/>
      <sz val="12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9"/>
      <color rgb="FFC00000"/>
      <name val="Times New Roman"/>
      <family val="1"/>
      <charset val="204"/>
    </font>
    <font>
      <b/>
      <sz val="9"/>
      <name val="Times New Roman"/>
      <family val="1"/>
      <charset val="204"/>
    </font>
    <font>
      <i/>
      <sz val="9"/>
      <name val="Times New Roman"/>
      <family val="1"/>
      <charset val="204"/>
    </font>
    <font>
      <b/>
      <sz val="9"/>
      <color rgb="FFFF0000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9"/>
      <name val="Calibri"/>
      <family val="2"/>
      <charset val="204"/>
      <scheme val="minor"/>
    </font>
    <font>
      <b/>
      <sz val="9"/>
      <color theme="1"/>
      <name val="Times New Roman"/>
      <family val="1"/>
      <charset val="204"/>
    </font>
    <font>
      <b/>
      <i/>
      <sz val="10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8">
    <xf numFmtId="0" fontId="0" fillId="0" borderId="0"/>
    <xf numFmtId="0" fontId="9" fillId="0" borderId="0"/>
    <xf numFmtId="0" fontId="10" fillId="0" borderId="0"/>
    <xf numFmtId="44" fontId="11" fillId="0" borderId="0" applyFont="0" applyFill="0" applyBorder="0" applyAlignment="0" applyProtection="0"/>
    <xf numFmtId="0" fontId="14" fillId="0" borderId="0"/>
    <xf numFmtId="0" fontId="10" fillId="0" borderId="0"/>
    <xf numFmtId="43" fontId="10" fillId="0" borderId="0" applyFont="0" applyFill="0" applyBorder="0" applyAlignment="0" applyProtection="0"/>
    <xf numFmtId="0" fontId="9" fillId="0" borderId="0"/>
  </cellStyleXfs>
  <cellXfs count="640">
    <xf numFmtId="0" fontId="0" fillId="0" borderId="0" xfId="0"/>
    <xf numFmtId="0" fontId="3" fillId="0" borderId="0" xfId="0" applyNumberFormat="1" applyFont="1" applyFill="1" applyBorder="1" applyAlignment="1" applyProtection="1">
      <alignment horizontal="center" vertical="top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5" fillId="0" borderId="0" xfId="0" applyNumberFormat="1" applyFont="1" applyFill="1" applyBorder="1" applyAlignment="1" applyProtection="1">
      <alignment horizontal="center" vertical="top"/>
    </xf>
    <xf numFmtId="0" fontId="6" fillId="0" borderId="0" xfId="0" applyNumberFormat="1" applyFont="1" applyFill="1" applyBorder="1" applyAlignment="1" applyProtection="1">
      <alignment vertical="top" wrapText="1"/>
    </xf>
    <xf numFmtId="0" fontId="6" fillId="0" borderId="0" xfId="0" applyNumberFormat="1" applyFont="1" applyFill="1" applyBorder="1" applyAlignment="1" applyProtection="1">
      <alignment horizontal="center" vertical="center" wrapText="1"/>
    </xf>
    <xf numFmtId="0" fontId="7" fillId="0" borderId="0" xfId="0" applyNumberFormat="1" applyFont="1" applyFill="1" applyBorder="1" applyAlignment="1" applyProtection="1">
      <alignment horizontal="center" vertical="center" wrapText="1"/>
    </xf>
    <xf numFmtId="0" fontId="4" fillId="0" borderId="0" xfId="0" applyFont="1"/>
    <xf numFmtId="0" fontId="3" fillId="0" borderId="0" xfId="0" applyNumberFormat="1" applyFont="1" applyFill="1" applyBorder="1" applyAlignment="1" applyProtection="1">
      <alignment vertical="top"/>
    </xf>
    <xf numFmtId="0" fontId="3" fillId="0" borderId="0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horizontal="center"/>
    </xf>
    <xf numFmtId="0" fontId="1" fillId="0" borderId="0" xfId="0" applyNumberFormat="1" applyFont="1" applyFill="1" applyBorder="1" applyAlignment="1" applyProtection="1">
      <alignment horizontal="left"/>
    </xf>
    <xf numFmtId="0" fontId="8" fillId="0" borderId="0" xfId="0" applyFont="1"/>
    <xf numFmtId="0" fontId="3" fillId="3" borderId="4" xfId="0" applyFont="1" applyFill="1" applyBorder="1" applyAlignment="1">
      <alignment horizontal="left" vertical="center" wrapText="1"/>
    </xf>
    <xf numFmtId="165" fontId="3" fillId="3" borderId="4" xfId="3" applyNumberFormat="1" applyFont="1" applyFill="1" applyBorder="1" applyAlignment="1" applyProtection="1">
      <alignment horizontal="left" vertical="center" wrapText="1"/>
    </xf>
    <xf numFmtId="0" fontId="3" fillId="3" borderId="4" xfId="0" applyFont="1" applyFill="1" applyBorder="1" applyAlignment="1">
      <alignment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13" fillId="0" borderId="4" xfId="0" applyFont="1" applyFill="1" applyBorder="1" applyAlignment="1">
      <alignment horizontal="left" vertical="center" wrapText="1"/>
    </xf>
    <xf numFmtId="0" fontId="12" fillId="0" borderId="4" xfId="0" applyFont="1" applyFill="1" applyBorder="1" applyAlignment="1">
      <alignment horizontal="left" vertical="center" wrapText="1"/>
    </xf>
    <xf numFmtId="3" fontId="3" fillId="0" borderId="4" xfId="0" applyNumberFormat="1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vertical="center" wrapText="1"/>
    </xf>
    <xf numFmtId="0" fontId="3" fillId="0" borderId="4" xfId="0" applyFont="1" applyFill="1" applyBorder="1" applyAlignment="1">
      <alignment vertical="center" wrapText="1"/>
    </xf>
    <xf numFmtId="0" fontId="1" fillId="3" borderId="0" xfId="0" applyFont="1" applyFill="1" applyBorder="1" applyAlignment="1">
      <alignment horizontal="left" vertical="center" wrapText="1"/>
    </xf>
    <xf numFmtId="0" fontId="3" fillId="0" borderId="0" xfId="0" applyNumberFormat="1" applyFont="1" applyFill="1" applyBorder="1" applyAlignment="1" applyProtection="1">
      <alignment horizontal="center" vertical="center"/>
    </xf>
    <xf numFmtId="3" fontId="1" fillId="0" borderId="4" xfId="0" applyNumberFormat="1" applyFont="1" applyFill="1" applyBorder="1" applyAlignment="1">
      <alignment horizontal="center" vertical="center" wrapText="1"/>
    </xf>
    <xf numFmtId="3" fontId="3" fillId="0" borderId="4" xfId="0" applyNumberFormat="1" applyFont="1" applyFill="1" applyBorder="1" applyAlignment="1">
      <alignment horizontal="center" vertical="center" wrapText="1"/>
    </xf>
    <xf numFmtId="3" fontId="1" fillId="0" borderId="4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Fill="1"/>
    <xf numFmtId="0" fontId="1" fillId="0" borderId="4" xfId="0" applyFont="1" applyFill="1" applyBorder="1" applyAlignment="1">
      <alignment horizontal="left" vertical="center" wrapText="1"/>
    </xf>
    <xf numFmtId="0" fontId="13" fillId="0" borderId="4" xfId="0" applyFont="1" applyBorder="1" applyAlignment="1">
      <alignment vertical="center" wrapText="1"/>
    </xf>
    <xf numFmtId="164" fontId="3" fillId="0" borderId="4" xfId="0" applyNumberFormat="1" applyFont="1" applyFill="1" applyBorder="1" applyAlignment="1">
      <alignment horizontal="center" vertical="center"/>
    </xf>
    <xf numFmtId="0" fontId="12" fillId="0" borderId="4" xfId="1" applyFont="1" applyFill="1" applyBorder="1" applyAlignment="1">
      <alignment horizontal="left" vertical="center" wrapText="1"/>
    </xf>
    <xf numFmtId="0" fontId="13" fillId="0" borderId="0" xfId="0" applyFont="1" applyBorder="1" applyAlignment="1">
      <alignment horizontal="center" vertical="center" wrapText="1"/>
    </xf>
    <xf numFmtId="0" fontId="5" fillId="0" borderId="0" xfId="0" applyFont="1"/>
    <xf numFmtId="0" fontId="13" fillId="0" borderId="0" xfId="0" applyFont="1"/>
    <xf numFmtId="0" fontId="13" fillId="0" borderId="0" xfId="0" applyFont="1" applyAlignment="1">
      <alignment horizontal="center"/>
    </xf>
    <xf numFmtId="0" fontId="1" fillId="0" borderId="0" xfId="0" applyNumberFormat="1" applyFont="1" applyFill="1" applyBorder="1" applyAlignment="1" applyProtection="1">
      <alignment horizontal="center" vertical="top"/>
    </xf>
    <xf numFmtId="3" fontId="3" fillId="0" borderId="4" xfId="0" applyNumberFormat="1" applyFont="1" applyFill="1" applyBorder="1" applyAlignment="1" applyProtection="1">
      <alignment horizontal="center" vertical="center" wrapText="1"/>
    </xf>
    <xf numFmtId="0" fontId="16" fillId="0" borderId="0" xfId="0" applyFont="1" applyFill="1"/>
    <xf numFmtId="0" fontId="16" fillId="0" borderId="0" xfId="0" applyFont="1"/>
    <xf numFmtId="0" fontId="13" fillId="0" borderId="0" xfId="0" applyFont="1" applyFill="1"/>
    <xf numFmtId="0" fontId="16" fillId="0" borderId="0" xfId="0" applyFont="1" applyAlignment="1">
      <alignment horizontal="center"/>
    </xf>
    <xf numFmtId="0" fontId="17" fillId="0" borderId="0" xfId="0" applyFont="1"/>
    <xf numFmtId="3" fontId="3" fillId="0" borderId="0" xfId="0" applyNumberFormat="1" applyFont="1" applyFill="1" applyBorder="1" applyAlignment="1" applyProtection="1">
      <alignment horizontal="center"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5" fillId="0" borderId="0" xfId="0" applyFont="1" applyFill="1"/>
    <xf numFmtId="0" fontId="3" fillId="0" borderId="4" xfId="0" applyNumberFormat="1" applyFont="1" applyFill="1" applyBorder="1" applyAlignment="1" applyProtection="1">
      <alignment horizontal="center" vertical="center" wrapText="1"/>
    </xf>
    <xf numFmtId="0" fontId="1" fillId="0" borderId="4" xfId="0" applyNumberFormat="1" applyFont="1" applyFill="1" applyBorder="1" applyAlignment="1" applyProtection="1">
      <alignment horizontal="center" vertical="center"/>
    </xf>
    <xf numFmtId="0" fontId="3" fillId="0" borderId="4" xfId="0" applyNumberFormat="1" applyFont="1" applyFill="1" applyBorder="1" applyAlignment="1" applyProtection="1">
      <alignment horizontal="center" vertical="top" wrapText="1"/>
    </xf>
    <xf numFmtId="0" fontId="3" fillId="0" borderId="4" xfId="0" applyNumberFormat="1" applyFont="1" applyFill="1" applyBorder="1" applyAlignment="1" applyProtection="1">
      <alignment horizontal="center" vertical="center"/>
    </xf>
    <xf numFmtId="0" fontId="3" fillId="0" borderId="4" xfId="0" applyNumberFormat="1" applyFont="1" applyFill="1" applyBorder="1" applyAlignment="1" applyProtection="1">
      <alignment horizontal="center" wrapText="1"/>
    </xf>
    <xf numFmtId="49" fontId="3" fillId="0" borderId="4" xfId="0" applyNumberFormat="1" applyFont="1" applyFill="1" applyBorder="1" applyAlignment="1">
      <alignment horizontal="center" vertical="center"/>
    </xf>
    <xf numFmtId="49" fontId="3" fillId="0" borderId="4" xfId="0" applyNumberFormat="1" applyFont="1" applyFill="1" applyBorder="1" applyAlignment="1" applyProtection="1">
      <alignment horizontal="center" vertical="center" wrapText="1"/>
    </xf>
    <xf numFmtId="3" fontId="3" fillId="0" borderId="4" xfId="0" applyNumberFormat="1" applyFont="1" applyFill="1" applyBorder="1" applyAlignment="1" applyProtection="1">
      <alignment horizontal="center" vertical="center"/>
    </xf>
    <xf numFmtId="0" fontId="13" fillId="0" borderId="0" xfId="0" applyFont="1" applyFill="1" applyAlignment="1">
      <alignment vertical="center"/>
    </xf>
    <xf numFmtId="0" fontId="13" fillId="0" borderId="0" xfId="0" applyFont="1" applyFill="1" applyBorder="1" applyAlignment="1">
      <alignment vertical="center"/>
    </xf>
    <xf numFmtId="3" fontId="3" fillId="0" borderId="4" xfId="0" applyNumberFormat="1" applyFont="1" applyFill="1" applyBorder="1" applyAlignment="1" applyProtection="1">
      <alignment horizontal="center"/>
    </xf>
    <xf numFmtId="49" fontId="1" fillId="0" borderId="4" xfId="0" applyNumberFormat="1" applyFont="1" applyFill="1" applyBorder="1" applyAlignment="1" applyProtection="1">
      <alignment horizontal="center" vertical="center" wrapText="1"/>
    </xf>
    <xf numFmtId="49" fontId="3" fillId="0" borderId="4" xfId="0" applyNumberFormat="1" applyFont="1" applyFill="1" applyBorder="1" applyAlignment="1" applyProtection="1">
      <alignment horizontal="center" vertical="center"/>
    </xf>
    <xf numFmtId="3" fontId="1" fillId="0" borderId="4" xfId="0" applyNumberFormat="1" applyFont="1" applyFill="1" applyBorder="1" applyAlignment="1" applyProtection="1">
      <alignment horizontal="center"/>
    </xf>
    <xf numFmtId="3" fontId="3" fillId="0" borderId="0" xfId="0" applyNumberFormat="1" applyFont="1" applyFill="1" applyBorder="1" applyAlignment="1" applyProtection="1">
      <alignment horizontal="center" vertical="center" wrapText="1"/>
    </xf>
    <xf numFmtId="164" fontId="1" fillId="0" borderId="4" xfId="0" applyNumberFormat="1" applyFont="1" applyFill="1" applyBorder="1" applyAlignment="1">
      <alignment horizontal="center" vertical="center"/>
    </xf>
    <xf numFmtId="49" fontId="1" fillId="0" borderId="4" xfId="0" applyNumberFormat="1" applyFont="1" applyFill="1" applyBorder="1" applyAlignment="1" applyProtection="1">
      <alignment horizontal="center" vertical="center"/>
    </xf>
    <xf numFmtId="0" fontId="1" fillId="0" borderId="4" xfId="0" applyNumberFormat="1" applyFont="1" applyFill="1" applyBorder="1" applyAlignment="1" applyProtection="1">
      <alignment vertical="top" wrapText="1"/>
    </xf>
    <xf numFmtId="0" fontId="1" fillId="0" borderId="4" xfId="0" applyNumberFormat="1" applyFont="1" applyFill="1" applyBorder="1" applyAlignment="1" applyProtection="1">
      <alignment vertical="center" wrapText="1"/>
    </xf>
    <xf numFmtId="3" fontId="3" fillId="0" borderId="4" xfId="0" applyNumberFormat="1" applyFont="1" applyFill="1" applyBorder="1" applyAlignment="1">
      <alignment horizontal="center"/>
    </xf>
    <xf numFmtId="0" fontId="15" fillId="0" borderId="4" xfId="1" applyFont="1" applyFill="1" applyBorder="1" applyAlignment="1">
      <alignment vertical="center" wrapText="1"/>
    </xf>
    <xf numFmtId="3" fontId="18" fillId="0" borderId="4" xfId="0" applyNumberFormat="1" applyFont="1" applyFill="1" applyBorder="1" applyAlignment="1" applyProtection="1">
      <alignment horizontal="center" vertical="center" wrapText="1"/>
    </xf>
    <xf numFmtId="3" fontId="15" fillId="0" borderId="4" xfId="1" applyNumberFormat="1" applyFont="1" applyFill="1" applyBorder="1" applyAlignment="1">
      <alignment horizontal="center" vertical="center" wrapText="1"/>
    </xf>
    <xf numFmtId="0" fontId="16" fillId="0" borderId="4" xfId="0" applyFont="1" applyFill="1" applyBorder="1"/>
    <xf numFmtId="0" fontId="13" fillId="0" borderId="0" xfId="0" applyFont="1" applyFill="1" applyAlignment="1">
      <alignment horizontal="center"/>
    </xf>
    <xf numFmtId="0" fontId="16" fillId="0" borderId="0" xfId="0" applyFont="1" applyFill="1" applyAlignment="1">
      <alignment horizontal="center" vertical="center"/>
    </xf>
    <xf numFmtId="0" fontId="16" fillId="0" borderId="0" xfId="0" applyFont="1" applyFill="1" applyAlignment="1">
      <alignment horizontal="center"/>
    </xf>
    <xf numFmtId="3" fontId="13" fillId="0" borderId="0" xfId="0" applyNumberFormat="1" applyFont="1" applyFill="1" applyAlignment="1">
      <alignment horizontal="center"/>
    </xf>
    <xf numFmtId="3" fontId="13" fillId="0" borderId="0" xfId="0" applyNumberFormat="1" applyFont="1" applyFill="1" applyAlignment="1">
      <alignment horizontal="center" vertical="center"/>
    </xf>
    <xf numFmtId="3" fontId="16" fillId="0" borderId="4" xfId="0" applyNumberFormat="1" applyFont="1" applyFill="1" applyBorder="1" applyAlignment="1">
      <alignment horizontal="center"/>
    </xf>
    <xf numFmtId="0" fontId="3" fillId="4" borderId="4" xfId="0" applyFont="1" applyFill="1" applyBorder="1" applyAlignment="1">
      <alignment horizontal="left" vertical="center" wrapText="1"/>
    </xf>
    <xf numFmtId="3" fontId="3" fillId="5" borderId="4" xfId="0" applyNumberFormat="1" applyFont="1" applyFill="1" applyBorder="1" applyAlignment="1">
      <alignment horizontal="center" vertical="center"/>
    </xf>
    <xf numFmtId="3" fontId="3" fillId="5" borderId="4" xfId="0" applyNumberFormat="1" applyFont="1" applyFill="1" applyBorder="1" applyAlignment="1" applyProtection="1">
      <alignment horizontal="center" vertical="center"/>
    </xf>
    <xf numFmtId="3" fontId="1" fillId="5" borderId="4" xfId="0" applyNumberFormat="1" applyFont="1" applyFill="1" applyBorder="1" applyAlignment="1">
      <alignment horizontal="center" vertical="center" wrapText="1"/>
    </xf>
    <xf numFmtId="3" fontId="3" fillId="5" borderId="4" xfId="0" applyNumberFormat="1" applyFont="1" applyFill="1" applyBorder="1" applyAlignment="1">
      <alignment horizontal="center" vertical="center" wrapText="1"/>
    </xf>
    <xf numFmtId="3" fontId="3" fillId="5" borderId="4" xfId="0" applyNumberFormat="1" applyFont="1" applyFill="1" applyBorder="1" applyAlignment="1" applyProtection="1">
      <alignment horizontal="center" wrapText="1"/>
    </xf>
    <xf numFmtId="0" fontId="16" fillId="0" borderId="4" xfId="0" applyFont="1" applyFill="1" applyBorder="1" applyAlignment="1">
      <alignment vertical="center"/>
    </xf>
    <xf numFmtId="3" fontId="16" fillId="0" borderId="4" xfId="0" applyNumberFormat="1" applyFont="1" applyFill="1" applyBorder="1" applyAlignment="1">
      <alignment horizontal="center" vertical="center"/>
    </xf>
    <xf numFmtId="49" fontId="3" fillId="0" borderId="4" xfId="0" applyNumberFormat="1" applyFont="1" applyFill="1" applyBorder="1" applyAlignment="1">
      <alignment horizontal="center" vertical="center" wrapText="1"/>
    </xf>
    <xf numFmtId="3" fontId="1" fillId="0" borderId="4" xfId="0" applyNumberFormat="1" applyFont="1" applyFill="1" applyBorder="1" applyAlignment="1">
      <alignment horizontal="center" vertical="center" wrapText="1"/>
    </xf>
    <xf numFmtId="49" fontId="3" fillId="2" borderId="4" xfId="0" applyNumberFormat="1" applyFont="1" applyFill="1" applyBorder="1" applyAlignment="1">
      <alignment horizontal="left" vertical="center"/>
    </xf>
    <xf numFmtId="49" fontId="3" fillId="2" borderId="4" xfId="0" applyNumberFormat="1" applyFont="1" applyFill="1" applyBorder="1" applyAlignment="1">
      <alignment horizontal="left" vertical="center" wrapText="1"/>
    </xf>
    <xf numFmtId="49" fontId="20" fillId="2" borderId="0" xfId="0" applyNumberFormat="1" applyFont="1" applyFill="1" applyAlignment="1">
      <alignment horizontal="center" wrapText="1"/>
    </xf>
    <xf numFmtId="0" fontId="20" fillId="2" borderId="0" xfId="0" applyFont="1" applyFill="1" applyAlignment="1">
      <alignment horizontal="left" wrapText="1"/>
    </xf>
    <xf numFmtId="0" fontId="20" fillId="2" borderId="0" xfId="0" applyFont="1" applyFill="1" applyAlignment="1">
      <alignment wrapText="1"/>
    </xf>
    <xf numFmtId="0" fontId="20" fillId="2" borderId="0" xfId="0" applyFont="1" applyFill="1" applyAlignment="1">
      <alignment horizontal="center" wrapText="1"/>
    </xf>
    <xf numFmtId="49" fontId="20" fillId="0" borderId="0" xfId="0" applyNumberFormat="1" applyFont="1" applyFill="1" applyAlignment="1">
      <alignment horizontal="center"/>
    </xf>
    <xf numFmtId="0" fontId="20" fillId="0" borderId="0" xfId="0" applyFont="1" applyFill="1" applyAlignment="1">
      <alignment horizontal="center"/>
    </xf>
    <xf numFmtId="49" fontId="20" fillId="0" borderId="4" xfId="0" applyNumberFormat="1" applyFont="1" applyFill="1" applyBorder="1" applyAlignment="1">
      <alignment horizontal="center" vertical="center"/>
    </xf>
    <xf numFmtId="0" fontId="20" fillId="0" borderId="4" xfId="0" applyFont="1" applyFill="1" applyBorder="1" applyAlignment="1">
      <alignment horizontal="center" vertical="center" wrapText="1"/>
    </xf>
    <xf numFmtId="0" fontId="20" fillId="0" borderId="4" xfId="0" applyFont="1" applyFill="1" applyBorder="1" applyAlignment="1">
      <alignment horizontal="center" vertical="center" textRotation="90" wrapText="1"/>
    </xf>
    <xf numFmtId="49" fontId="2" fillId="0" borderId="4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3" fontId="20" fillId="0" borderId="4" xfId="0" applyNumberFormat="1" applyFont="1" applyFill="1" applyBorder="1" applyAlignment="1">
      <alignment horizontal="center" vertical="center" wrapText="1"/>
    </xf>
    <xf numFmtId="0" fontId="20" fillId="0" borderId="4" xfId="0" applyFont="1" applyFill="1" applyBorder="1" applyAlignment="1">
      <alignment vertical="center" wrapText="1"/>
    </xf>
    <xf numFmtId="0" fontId="2" fillId="6" borderId="4" xfId="0" applyFont="1" applyFill="1" applyBorder="1" applyAlignment="1">
      <alignment vertical="center" wrapText="1"/>
    </xf>
    <xf numFmtId="0" fontId="21" fillId="0" borderId="4" xfId="0" applyFont="1" applyFill="1" applyBorder="1" applyAlignment="1">
      <alignment horizontal="center" vertical="center" wrapText="1"/>
    </xf>
    <xf numFmtId="3" fontId="2" fillId="0" borderId="4" xfId="0" applyNumberFormat="1" applyFont="1" applyFill="1" applyBorder="1" applyAlignment="1">
      <alignment horizontal="center" vertical="center" wrapText="1"/>
    </xf>
    <xf numFmtId="0" fontId="20" fillId="6" borderId="4" xfId="0" applyFont="1" applyFill="1" applyBorder="1" applyAlignment="1">
      <alignment vertical="center" wrapText="1"/>
    </xf>
    <xf numFmtId="0" fontId="22" fillId="0" borderId="4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  <xf numFmtId="0" fontId="20" fillId="0" borderId="4" xfId="0" applyFont="1" applyFill="1" applyBorder="1" applyAlignment="1">
      <alignment horizontal="left" vertical="center" wrapText="1"/>
    </xf>
    <xf numFmtId="0" fontId="21" fillId="0" borderId="4" xfId="0" applyFont="1" applyFill="1" applyBorder="1" applyAlignment="1">
      <alignment vertical="center" wrapText="1"/>
    </xf>
    <xf numFmtId="0" fontId="2" fillId="0" borderId="4" xfId="0" applyNumberFormat="1" applyFont="1" applyFill="1" applyBorder="1" applyAlignment="1">
      <alignment horizontal="center" vertical="center" wrapText="1"/>
    </xf>
    <xf numFmtId="164" fontId="2" fillId="0" borderId="4" xfId="0" applyNumberFormat="1" applyFont="1" applyFill="1" applyBorder="1" applyAlignment="1">
      <alignment horizontal="center" vertical="center"/>
    </xf>
    <xf numFmtId="49" fontId="2" fillId="2" borderId="4" xfId="0" applyNumberFormat="1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3" fontId="2" fillId="6" borderId="4" xfId="0" applyNumberFormat="1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  <xf numFmtId="3" fontId="20" fillId="6" borderId="4" xfId="0" applyNumberFormat="1" applyFont="1" applyFill="1" applyBorder="1" applyAlignment="1">
      <alignment horizontal="center" vertical="center"/>
    </xf>
    <xf numFmtId="0" fontId="20" fillId="0" borderId="4" xfId="0" applyNumberFormat="1" applyFont="1" applyFill="1" applyBorder="1" applyAlignment="1">
      <alignment horizontal="left" vertical="center" wrapText="1"/>
    </xf>
    <xf numFmtId="0" fontId="21" fillId="0" borderId="4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1" fillId="0" borderId="4" xfId="1" applyFont="1" applyFill="1" applyBorder="1" applyAlignment="1">
      <alignment horizontal="center" vertical="center" wrapText="1"/>
    </xf>
    <xf numFmtId="3" fontId="20" fillId="0" borderId="4" xfId="0" applyNumberFormat="1" applyFont="1" applyFill="1" applyBorder="1" applyAlignment="1">
      <alignment horizontal="center" vertical="center"/>
    </xf>
    <xf numFmtId="49" fontId="21" fillId="0" borderId="4" xfId="1" applyNumberFormat="1" applyFont="1" applyBorder="1" applyAlignment="1">
      <alignment horizontal="center" vertical="center" wrapText="1"/>
    </xf>
    <xf numFmtId="3" fontId="20" fillId="6" borderId="4" xfId="0" applyNumberFormat="1" applyFont="1" applyFill="1" applyBorder="1" applyAlignment="1">
      <alignment horizontal="center" vertical="center" wrapText="1"/>
    </xf>
    <xf numFmtId="0" fontId="23" fillId="0" borderId="4" xfId="0" applyFont="1" applyBorder="1" applyAlignment="1">
      <alignment vertical="center" wrapText="1"/>
    </xf>
    <xf numFmtId="3" fontId="2" fillId="0" borderId="4" xfId="0" applyNumberFormat="1" applyFont="1" applyFill="1" applyBorder="1" applyAlignment="1">
      <alignment horizontal="center" vertical="center"/>
    </xf>
    <xf numFmtId="0" fontId="21" fillId="0" borderId="4" xfId="1" applyFont="1" applyFill="1" applyBorder="1" applyAlignment="1">
      <alignment vertical="center" wrapText="1"/>
    </xf>
    <xf numFmtId="0" fontId="2" fillId="0" borderId="4" xfId="0" applyFont="1" applyFill="1" applyBorder="1" applyAlignment="1">
      <alignment vertical="center"/>
    </xf>
    <xf numFmtId="49" fontId="20" fillId="0" borderId="4" xfId="0" applyNumberFormat="1" applyFont="1" applyFill="1" applyBorder="1" applyAlignment="1">
      <alignment horizontal="center" vertical="center" wrapText="1"/>
    </xf>
    <xf numFmtId="49" fontId="3" fillId="2" borderId="4" xfId="0" applyNumberFormat="1" applyFont="1" applyFill="1" applyBorder="1" applyAlignment="1">
      <alignment horizontal="center" vertical="center"/>
    </xf>
    <xf numFmtId="49" fontId="19" fillId="0" borderId="4" xfId="0" applyNumberFormat="1" applyFont="1" applyFill="1" applyBorder="1" applyAlignment="1">
      <alignment horizontal="left" vertical="center" wrapText="1"/>
    </xf>
    <xf numFmtId="49" fontId="2" fillId="0" borderId="7" xfId="0" applyNumberFormat="1" applyFont="1" applyFill="1" applyBorder="1" applyAlignment="1">
      <alignment horizontal="center" vertical="center"/>
    </xf>
    <xf numFmtId="0" fontId="2" fillId="6" borderId="4" xfId="0" applyFont="1" applyFill="1" applyBorder="1" applyAlignment="1">
      <alignment wrapText="1"/>
    </xf>
    <xf numFmtId="0" fontId="2" fillId="0" borderId="4" xfId="0" applyFont="1" applyBorder="1" applyAlignment="1">
      <alignment wrapText="1"/>
    </xf>
    <xf numFmtId="0" fontId="2" fillId="0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0" fillId="6" borderId="2" xfId="0" applyFont="1" applyFill="1" applyBorder="1" applyAlignment="1">
      <alignment vertical="center" wrapText="1"/>
    </xf>
    <xf numFmtId="3" fontId="20" fillId="0" borderId="2" xfId="0" applyNumberFormat="1" applyFont="1" applyFill="1" applyBorder="1" applyAlignment="1">
      <alignment horizontal="center" vertical="center" wrapText="1"/>
    </xf>
    <xf numFmtId="0" fontId="20" fillId="0" borderId="2" xfId="0" applyFont="1" applyBorder="1" applyAlignment="1">
      <alignment vertical="center" wrapText="1"/>
    </xf>
    <xf numFmtId="0" fontId="20" fillId="0" borderId="10" xfId="0" applyFont="1" applyFill="1" applyBorder="1" applyAlignment="1">
      <alignment horizontal="left" vertical="center" wrapText="1"/>
    </xf>
    <xf numFmtId="0" fontId="20" fillId="0" borderId="11" xfId="0" applyFont="1" applyFill="1" applyBorder="1" applyAlignment="1">
      <alignment horizontal="left" vertical="center" wrapText="1"/>
    </xf>
    <xf numFmtId="49" fontId="21" fillId="0" borderId="7" xfId="0" applyNumberFormat="1" applyFont="1" applyFill="1" applyBorder="1" applyAlignment="1">
      <alignment horizontal="center" vertical="center" wrapText="1"/>
    </xf>
    <xf numFmtId="0" fontId="21" fillId="0" borderId="3" xfId="0" applyFont="1" applyFill="1" applyBorder="1" applyAlignment="1">
      <alignment vertical="center" wrapText="1"/>
    </xf>
    <xf numFmtId="0" fontId="21" fillId="0" borderId="3" xfId="0" applyFont="1" applyFill="1" applyBorder="1" applyAlignment="1">
      <alignment horizontal="center" vertical="center" wrapText="1"/>
    </xf>
    <xf numFmtId="0" fontId="2" fillId="6" borderId="4" xfId="0" applyFont="1" applyFill="1" applyBorder="1" applyAlignment="1">
      <alignment horizontal="left" vertical="center" wrapText="1"/>
    </xf>
    <xf numFmtId="0" fontId="20" fillId="0" borderId="4" xfId="0" applyFont="1" applyBorder="1" applyAlignment="1">
      <alignment wrapText="1"/>
    </xf>
    <xf numFmtId="0" fontId="20" fillId="0" borderId="3" xfId="0" applyFont="1" applyFill="1" applyBorder="1" applyAlignment="1">
      <alignment horizontal="left" vertical="center" wrapText="1"/>
    </xf>
    <xf numFmtId="0" fontId="20" fillId="0" borderId="12" xfId="0" applyFont="1" applyFill="1" applyBorder="1" applyAlignment="1">
      <alignment horizontal="left" vertical="center" wrapText="1"/>
    </xf>
    <xf numFmtId="0" fontId="21" fillId="0" borderId="6" xfId="0" applyFont="1" applyFill="1" applyBorder="1" applyAlignment="1">
      <alignment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/>
    </xf>
    <xf numFmtId="0" fontId="23" fillId="0" borderId="4" xfId="0" applyFont="1" applyBorder="1" applyAlignment="1">
      <alignment vertical="top" wrapText="1"/>
    </xf>
    <xf numFmtId="0" fontId="23" fillId="0" borderId="3" xfId="0" applyFont="1" applyBorder="1" applyAlignment="1">
      <alignment vertical="top" wrapText="1"/>
    </xf>
    <xf numFmtId="0" fontId="23" fillId="0" borderId="4" xfId="0" applyFont="1" applyBorder="1" applyAlignment="1">
      <alignment horizontal="left" wrapText="1"/>
    </xf>
    <xf numFmtId="0" fontId="2" fillId="6" borderId="3" xfId="0" applyFont="1" applyFill="1" applyBorder="1" applyAlignment="1">
      <alignment horizontal="center" vertical="center" wrapText="1"/>
    </xf>
    <xf numFmtId="0" fontId="23" fillId="0" borderId="4" xfId="0" applyFont="1" applyBorder="1" applyAlignment="1">
      <alignment horizontal="left" vertical="center" wrapText="1"/>
    </xf>
    <xf numFmtId="0" fontId="20" fillId="0" borderId="2" xfId="0" applyFont="1" applyBorder="1" applyAlignment="1">
      <alignment wrapText="1"/>
    </xf>
    <xf numFmtId="0" fontId="23" fillId="0" borderId="2" xfId="0" applyFont="1" applyBorder="1" applyAlignment="1">
      <alignment vertical="top" wrapText="1"/>
    </xf>
    <xf numFmtId="0" fontId="2" fillId="6" borderId="4" xfId="0" applyFont="1" applyFill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4" xfId="0" applyFont="1" applyFill="1" applyBorder="1" applyAlignment="1">
      <alignment vertical="center" wrapText="1"/>
    </xf>
    <xf numFmtId="49" fontId="21" fillId="0" borderId="4" xfId="2" applyNumberFormat="1" applyFont="1" applyFill="1" applyBorder="1" applyAlignment="1">
      <alignment vertical="center" wrapText="1"/>
    </xf>
    <xf numFmtId="0" fontId="20" fillId="0" borderId="8" xfId="0" applyFont="1" applyFill="1" applyBorder="1" applyAlignment="1">
      <alignment horizontal="left" vertical="center" wrapText="1"/>
    </xf>
    <xf numFmtId="49" fontId="21" fillId="0" borderId="7" xfId="1" applyNumberFormat="1" applyFont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left" vertical="center" wrapText="1"/>
    </xf>
    <xf numFmtId="0" fontId="2" fillId="6" borderId="3" xfId="0" applyFont="1" applyFill="1" applyBorder="1" applyAlignment="1">
      <alignment vertical="center" wrapText="1"/>
    </xf>
    <xf numFmtId="0" fontId="20" fillId="6" borderId="2" xfId="0" applyFont="1" applyFill="1" applyBorder="1" applyAlignment="1">
      <alignment wrapText="1"/>
    </xf>
    <xf numFmtId="0" fontId="2" fillId="0" borderId="2" xfId="0" applyFont="1" applyBorder="1" applyAlignment="1">
      <alignment vertical="center" wrapText="1"/>
    </xf>
    <xf numFmtId="0" fontId="2" fillId="0" borderId="2" xfId="0" applyFont="1" applyFill="1" applyBorder="1" applyAlignment="1">
      <alignment horizontal="center" vertical="center" wrapText="1"/>
    </xf>
    <xf numFmtId="3" fontId="2" fillId="0" borderId="2" xfId="0" applyNumberFormat="1" applyFont="1" applyFill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0" fontId="2" fillId="0" borderId="9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center" vertical="center"/>
    </xf>
    <xf numFmtId="49" fontId="21" fillId="0" borderId="7" xfId="1" applyNumberFormat="1" applyFont="1" applyFill="1" applyBorder="1" applyAlignment="1">
      <alignment horizontal="center" vertical="center" wrapText="1"/>
    </xf>
    <xf numFmtId="3" fontId="2" fillId="0" borderId="4" xfId="0" applyNumberFormat="1" applyFont="1" applyBorder="1" applyAlignment="1">
      <alignment horizontal="center" vertical="center"/>
    </xf>
    <xf numFmtId="3" fontId="2" fillId="0" borderId="2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2" fillId="6" borderId="3" xfId="0" applyFont="1" applyFill="1" applyBorder="1" applyAlignment="1">
      <alignment wrapText="1"/>
    </xf>
    <xf numFmtId="0" fontId="23" fillId="0" borderId="3" xfId="0" applyFont="1" applyBorder="1" applyAlignment="1">
      <alignment horizontal="left" wrapText="1"/>
    </xf>
    <xf numFmtId="0" fontId="2" fillId="0" borderId="1" xfId="0" applyFont="1" applyBorder="1" applyAlignment="1">
      <alignment vertical="center" wrapText="1"/>
    </xf>
    <xf numFmtId="0" fontId="13" fillId="0" borderId="4" xfId="0" applyFont="1" applyBorder="1"/>
    <xf numFmtId="0" fontId="16" fillId="0" borderId="4" xfId="0" applyFont="1" applyBorder="1" applyAlignment="1">
      <alignment horizontal="center"/>
    </xf>
    <xf numFmtId="0" fontId="13" fillId="0" borderId="4" xfId="0" applyFont="1" applyBorder="1" applyAlignment="1">
      <alignment horizontal="center" vertical="center"/>
    </xf>
    <xf numFmtId="0" fontId="13" fillId="0" borderId="4" xfId="0" applyFont="1" applyBorder="1" applyAlignment="1">
      <alignment wrapText="1"/>
    </xf>
    <xf numFmtId="3" fontId="13" fillId="0" borderId="4" xfId="0" applyNumberFormat="1" applyFont="1" applyBorder="1" applyAlignment="1">
      <alignment horizontal="center" vertical="center"/>
    </xf>
    <xf numFmtId="3" fontId="16" fillId="0" borderId="4" xfId="0" applyNumberFormat="1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" fillId="0" borderId="0" xfId="0" applyNumberFormat="1" applyFont="1" applyFill="1" applyBorder="1" applyAlignment="1" applyProtection="1">
      <alignment horizontal="center" vertical="top"/>
    </xf>
    <xf numFmtId="0" fontId="13" fillId="0" borderId="0" xfId="0" applyFont="1" applyAlignment="1"/>
    <xf numFmtId="0" fontId="12" fillId="0" borderId="4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1" fillId="0" borderId="4" xfId="0" applyFont="1" applyFill="1" applyBorder="1" applyAlignment="1">
      <alignment horizontal="center" vertical="center" wrapText="1"/>
    </xf>
    <xf numFmtId="164" fontId="2" fillId="5" borderId="4" xfId="0" applyNumberFormat="1" applyFont="1" applyFill="1" applyBorder="1" applyAlignment="1">
      <alignment horizontal="center" vertical="center"/>
    </xf>
    <xf numFmtId="3" fontId="25" fillId="5" borderId="4" xfId="0" applyNumberFormat="1" applyFont="1" applyFill="1" applyBorder="1" applyAlignment="1">
      <alignment horizontal="center" vertical="center"/>
    </xf>
    <xf numFmtId="3" fontId="2" fillId="5" borderId="4" xfId="0" applyNumberFormat="1" applyFont="1" applyFill="1" applyBorder="1" applyAlignment="1">
      <alignment horizontal="center" vertical="center" wrapText="1"/>
    </xf>
    <xf numFmtId="3" fontId="2" fillId="5" borderId="4" xfId="0" applyNumberFormat="1" applyFont="1" applyFill="1" applyBorder="1" applyAlignment="1">
      <alignment horizontal="center" vertical="center"/>
    </xf>
    <xf numFmtId="49" fontId="12" fillId="5" borderId="4" xfId="1" applyNumberFormat="1" applyFont="1" applyFill="1" applyBorder="1" applyAlignment="1">
      <alignment horizontal="center" vertical="center"/>
    </xf>
    <xf numFmtId="0" fontId="26" fillId="5" borderId="4" xfId="4" applyFont="1" applyFill="1" applyBorder="1" applyAlignment="1">
      <alignment vertical="center"/>
    </xf>
    <xf numFmtId="0" fontId="3" fillId="5" borderId="4" xfId="4" applyFont="1" applyFill="1" applyBorder="1" applyAlignment="1">
      <alignment vertical="center"/>
    </xf>
    <xf numFmtId="0" fontId="3" fillId="0" borderId="4" xfId="4" applyFont="1" applyBorder="1" applyAlignment="1">
      <alignment vertical="center"/>
    </xf>
    <xf numFmtId="0" fontId="26" fillId="0" borderId="4" xfId="4" applyFont="1" applyFill="1" applyBorder="1" applyAlignment="1">
      <alignment vertical="center"/>
    </xf>
    <xf numFmtId="0" fontId="3" fillId="0" borderId="4" xfId="4" applyFont="1" applyFill="1" applyBorder="1" applyAlignment="1">
      <alignment horizontal="left" vertical="center"/>
    </xf>
    <xf numFmtId="0" fontId="3" fillId="5" borderId="4" xfId="4" applyFont="1" applyFill="1" applyBorder="1" applyAlignment="1">
      <alignment horizontal="left" vertical="center"/>
    </xf>
    <xf numFmtId="3" fontId="2" fillId="5" borderId="4" xfId="4" applyNumberFormat="1" applyFont="1" applyFill="1" applyBorder="1" applyAlignment="1">
      <alignment horizontal="center" vertical="center"/>
    </xf>
    <xf numFmtId="166" fontId="3" fillId="5" borderId="4" xfId="0" applyNumberFormat="1" applyFont="1" applyFill="1" applyBorder="1" applyAlignment="1">
      <alignment horizontal="center" vertical="center"/>
    </xf>
    <xf numFmtId="3" fontId="3" fillId="5" borderId="4" xfId="4" applyNumberFormat="1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left" vertical="center" wrapText="1"/>
    </xf>
    <xf numFmtId="0" fontId="27" fillId="0" borderId="0" xfId="0" applyFont="1"/>
    <xf numFmtId="49" fontId="2" fillId="5" borderId="4" xfId="0" applyNumberFormat="1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left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26" fillId="0" borderId="2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26" fillId="0" borderId="4" xfId="0" applyFont="1" applyBorder="1" applyAlignment="1">
      <alignment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3" fillId="7" borderId="4" xfId="0" applyFont="1" applyFill="1" applyBorder="1" applyAlignment="1">
      <alignment vertical="center" wrapText="1"/>
    </xf>
    <xf numFmtId="49" fontId="2" fillId="5" borderId="0" xfId="0" applyNumberFormat="1" applyFont="1" applyFill="1" applyAlignment="1">
      <alignment horizontal="center" vertical="center"/>
    </xf>
    <xf numFmtId="0" fontId="24" fillId="5" borderId="0" xfId="0" applyFont="1" applyFill="1" applyAlignment="1">
      <alignment horizontal="left" vertical="center" wrapText="1"/>
    </xf>
    <xf numFmtId="0" fontId="24" fillId="5" borderId="0" xfId="0" applyFont="1" applyFill="1" applyAlignment="1">
      <alignment horizontal="center" vertical="center"/>
    </xf>
    <xf numFmtId="167" fontId="24" fillId="5" borderId="0" xfId="0" applyNumberFormat="1" applyFont="1" applyFill="1" applyAlignment="1">
      <alignment vertical="top"/>
    </xf>
    <xf numFmtId="0" fontId="24" fillId="5" borderId="0" xfId="0" applyFont="1" applyFill="1" applyAlignment="1">
      <alignment vertical="top"/>
    </xf>
    <xf numFmtId="0" fontId="2" fillId="5" borderId="0" xfId="0" applyFont="1" applyFill="1" applyAlignment="1">
      <alignment vertical="top"/>
    </xf>
    <xf numFmtId="0" fontId="20" fillId="5" borderId="0" xfId="0" applyFont="1" applyFill="1" applyAlignment="1">
      <alignment horizontal="center"/>
    </xf>
    <xf numFmtId="49" fontId="20" fillId="5" borderId="0" xfId="0" applyNumberFormat="1" applyFont="1" applyFill="1" applyAlignment="1">
      <alignment horizontal="center" wrapText="1"/>
    </xf>
    <xf numFmtId="0" fontId="20" fillId="5" borderId="0" xfId="0" applyFont="1" applyFill="1" applyAlignment="1">
      <alignment horizontal="left" wrapText="1"/>
    </xf>
    <xf numFmtId="0" fontId="2" fillId="5" borderId="0" xfId="0" applyFont="1" applyFill="1" applyBorder="1" applyAlignment="1">
      <alignment horizontal="right" vertical="center" wrapText="1"/>
    </xf>
    <xf numFmtId="0" fontId="2" fillId="5" borderId="10" xfId="0" applyFont="1" applyFill="1" applyBorder="1" applyAlignment="1">
      <alignment horizontal="right" vertical="center" wrapText="1"/>
    </xf>
    <xf numFmtId="0" fontId="2" fillId="5" borderId="0" xfId="0" applyFont="1" applyFill="1" applyAlignment="1">
      <alignment horizontal="center"/>
    </xf>
    <xf numFmtId="49" fontId="20" fillId="5" borderId="4" xfId="0" applyNumberFormat="1" applyFont="1" applyFill="1" applyBorder="1" applyAlignment="1">
      <alignment horizontal="center" vertical="center"/>
    </xf>
    <xf numFmtId="0" fontId="20" fillId="5" borderId="4" xfId="0" applyFont="1" applyFill="1" applyBorder="1" applyAlignment="1">
      <alignment horizontal="center" vertical="center" wrapText="1"/>
    </xf>
    <xf numFmtId="167" fontId="20" fillId="5" borderId="1" xfId="0" applyNumberFormat="1" applyFont="1" applyFill="1" applyBorder="1" applyAlignment="1">
      <alignment horizontal="center" vertical="center" wrapText="1"/>
    </xf>
    <xf numFmtId="167" fontId="20" fillId="5" borderId="4" xfId="0" applyNumberFormat="1" applyFont="1" applyFill="1" applyBorder="1" applyAlignment="1">
      <alignment horizontal="center" vertical="center" wrapText="1"/>
    </xf>
    <xf numFmtId="0" fontId="20" fillId="5" borderId="0" xfId="0" applyFont="1" applyFill="1" applyAlignment="1">
      <alignment horizontal="center" vertical="center"/>
    </xf>
    <xf numFmtId="1" fontId="2" fillId="5" borderId="4" xfId="0" applyNumberFormat="1" applyFont="1" applyFill="1" applyBorder="1" applyAlignment="1">
      <alignment horizontal="center" vertical="center" wrapText="1"/>
    </xf>
    <xf numFmtId="3" fontId="20" fillId="5" borderId="4" xfId="0" applyNumberFormat="1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/>
    </xf>
    <xf numFmtId="0" fontId="2" fillId="5" borderId="0" xfId="0" applyFont="1" applyFill="1" applyAlignment="1">
      <alignment horizontal="center" vertical="center"/>
    </xf>
    <xf numFmtId="49" fontId="2" fillId="5" borderId="4" xfId="0" applyNumberFormat="1" applyFont="1" applyFill="1" applyBorder="1" applyAlignment="1">
      <alignment vertical="center"/>
    </xf>
    <xf numFmtId="0" fontId="2" fillId="5" borderId="9" xfId="0" applyFont="1" applyFill="1" applyBorder="1" applyAlignment="1">
      <alignment horizontal="left" vertical="center" wrapText="1"/>
    </xf>
    <xf numFmtId="0" fontId="2" fillId="5" borderId="0" xfId="0" applyFont="1" applyFill="1"/>
    <xf numFmtId="49" fontId="2" fillId="5" borderId="1" xfId="0" applyNumberFormat="1" applyFont="1" applyFill="1" applyBorder="1" applyAlignment="1">
      <alignment vertical="center"/>
    </xf>
    <xf numFmtId="0" fontId="21" fillId="5" borderId="1" xfId="0" applyFont="1" applyFill="1" applyBorder="1" applyAlignment="1">
      <alignment horizontal="left" vertical="center" wrapText="1"/>
    </xf>
    <xf numFmtId="3" fontId="2" fillId="5" borderId="1" xfId="0" applyNumberFormat="1" applyFont="1" applyFill="1" applyBorder="1" applyAlignment="1">
      <alignment horizontal="center" vertical="center" wrapText="1"/>
    </xf>
    <xf numFmtId="3" fontId="2" fillId="5" borderId="1" xfId="0" applyNumberFormat="1" applyFont="1" applyFill="1" applyBorder="1" applyAlignment="1">
      <alignment horizontal="center" vertical="center"/>
    </xf>
    <xf numFmtId="0" fontId="2" fillId="5" borderId="4" xfId="0" applyFont="1" applyFill="1" applyBorder="1"/>
    <xf numFmtId="49" fontId="2" fillId="5" borderId="2" xfId="0" applyNumberFormat="1" applyFont="1" applyFill="1" applyBorder="1" applyAlignment="1">
      <alignment vertical="center"/>
    </xf>
    <xf numFmtId="0" fontId="21" fillId="5" borderId="2" xfId="0" applyFont="1" applyFill="1" applyBorder="1" applyAlignment="1">
      <alignment horizontal="left" vertical="center" wrapText="1"/>
    </xf>
    <xf numFmtId="3" fontId="2" fillId="5" borderId="2" xfId="0" applyNumberFormat="1" applyFont="1" applyFill="1" applyBorder="1" applyAlignment="1">
      <alignment horizontal="center" vertical="center" wrapText="1"/>
    </xf>
    <xf numFmtId="3" fontId="2" fillId="5" borderId="2" xfId="0" applyNumberFormat="1" applyFont="1" applyFill="1" applyBorder="1" applyAlignment="1">
      <alignment horizontal="center" vertical="center"/>
    </xf>
    <xf numFmtId="0" fontId="21" fillId="5" borderId="9" xfId="0" applyFont="1" applyFill="1" applyBorder="1" applyAlignment="1">
      <alignment horizontal="left" vertical="center" wrapText="1"/>
    </xf>
    <xf numFmtId="0" fontId="2" fillId="5" borderId="4" xfId="0" applyFont="1" applyFill="1" applyBorder="1" applyAlignment="1">
      <alignment vertical="center" wrapText="1"/>
    </xf>
    <xf numFmtId="0" fontId="2" fillId="5" borderId="4" xfId="0" applyFont="1" applyFill="1" applyBorder="1" applyAlignment="1">
      <alignment wrapText="1"/>
    </xf>
    <xf numFmtId="0" fontId="25" fillId="5" borderId="4" xfId="0" applyFont="1" applyFill="1" applyBorder="1" applyAlignment="1">
      <alignment vertical="center" wrapText="1"/>
    </xf>
    <xf numFmtId="0" fontId="25" fillId="5" borderId="4" xfId="0" applyFont="1" applyFill="1" applyBorder="1" applyAlignment="1">
      <alignment horizontal="left" vertical="center"/>
    </xf>
    <xf numFmtId="3" fontId="2" fillId="7" borderId="4" xfId="0" applyNumberFormat="1" applyFont="1" applyFill="1" applyBorder="1" applyAlignment="1">
      <alignment horizontal="center" vertical="center"/>
    </xf>
    <xf numFmtId="0" fontId="2" fillId="5" borderId="4" xfId="0" applyFont="1" applyFill="1" applyBorder="1" applyAlignment="1">
      <alignment vertical="top"/>
    </xf>
    <xf numFmtId="0" fontId="2" fillId="5" borderId="9" xfId="0" applyNumberFormat="1" applyFont="1" applyFill="1" applyBorder="1" applyAlignment="1">
      <alignment horizontal="left" vertical="center" wrapText="1"/>
    </xf>
    <xf numFmtId="1" fontId="2" fillId="5" borderId="4" xfId="0" applyNumberFormat="1" applyFont="1" applyFill="1" applyBorder="1" applyAlignment="1">
      <alignment vertical="top"/>
    </xf>
    <xf numFmtId="49" fontId="2" fillId="8" borderId="4" xfId="0" applyNumberFormat="1" applyFont="1" applyFill="1" applyBorder="1" applyAlignment="1">
      <alignment vertical="center"/>
    </xf>
    <xf numFmtId="0" fontId="2" fillId="8" borderId="4" xfId="0" applyFont="1" applyFill="1" applyBorder="1" applyAlignment="1">
      <alignment horizontal="left" vertical="center" wrapText="1"/>
    </xf>
    <xf numFmtId="3" fontId="2" fillId="8" borderId="4" xfId="0" applyNumberFormat="1" applyFont="1" applyFill="1" applyBorder="1" applyAlignment="1">
      <alignment horizontal="center" vertical="center"/>
    </xf>
    <xf numFmtId="3" fontId="20" fillId="8" borderId="4" xfId="0" applyNumberFormat="1" applyFont="1" applyFill="1" applyBorder="1" applyAlignment="1">
      <alignment horizontal="center" vertical="center" wrapText="1"/>
    </xf>
    <xf numFmtId="3" fontId="28" fillId="5" borderId="4" xfId="0" applyNumberFormat="1" applyFont="1" applyFill="1" applyBorder="1" applyAlignment="1">
      <alignment horizontal="center" vertical="center"/>
    </xf>
    <xf numFmtId="3" fontId="2" fillId="5" borderId="4" xfId="0" applyNumberFormat="1" applyFont="1" applyFill="1" applyBorder="1" applyAlignment="1">
      <alignment horizontal="left" vertical="center" wrapText="1"/>
    </xf>
    <xf numFmtId="0" fontId="21" fillId="5" borderId="4" xfId="1" applyFont="1" applyFill="1" applyBorder="1" applyAlignment="1">
      <alignment horizontal="left" vertical="center" wrapText="1"/>
    </xf>
    <xf numFmtId="0" fontId="21" fillId="5" borderId="4" xfId="1" applyFont="1" applyFill="1" applyBorder="1" applyAlignment="1">
      <alignment vertical="center" wrapText="1"/>
    </xf>
    <xf numFmtId="0" fontId="29" fillId="5" borderId="4" xfId="0" applyFont="1" applyFill="1" applyBorder="1" applyAlignment="1">
      <alignment horizontal="left" vertical="center" wrapText="1"/>
    </xf>
    <xf numFmtId="3" fontId="20" fillId="5" borderId="4" xfId="0" applyNumberFormat="1" applyFont="1" applyFill="1" applyBorder="1" applyAlignment="1">
      <alignment horizontal="center" vertical="center"/>
    </xf>
    <xf numFmtId="49" fontId="2" fillId="5" borderId="0" xfId="0" applyNumberFormat="1" applyFont="1" applyFill="1" applyBorder="1" applyAlignment="1">
      <alignment horizontal="center" vertical="center"/>
    </xf>
    <xf numFmtId="0" fontId="20" fillId="5" borderId="0" xfId="0" applyFont="1" applyFill="1" applyBorder="1" applyAlignment="1">
      <alignment horizontal="left" vertical="center" wrapText="1"/>
    </xf>
    <xf numFmtId="3" fontId="20" fillId="5" borderId="0" xfId="0" applyNumberFormat="1" applyFont="1" applyFill="1" applyBorder="1" applyAlignment="1">
      <alignment horizontal="center" vertical="center"/>
    </xf>
    <xf numFmtId="3" fontId="20" fillId="5" borderId="0" xfId="0" applyNumberFormat="1" applyFont="1" applyFill="1" applyBorder="1" applyAlignment="1">
      <alignment horizontal="center" vertical="center" wrapText="1"/>
    </xf>
    <xf numFmtId="0" fontId="2" fillId="5" borderId="0" xfId="0" applyFont="1" applyFill="1" applyBorder="1" applyAlignment="1">
      <alignment vertical="top"/>
    </xf>
    <xf numFmtId="0" fontId="29" fillId="5" borderId="0" xfId="0" applyFont="1" applyFill="1" applyBorder="1" applyAlignment="1">
      <alignment horizontal="left" vertical="center" wrapText="1"/>
    </xf>
    <xf numFmtId="167" fontId="20" fillId="5" borderId="0" xfId="0" applyNumberFormat="1" applyFont="1" applyFill="1" applyBorder="1" applyAlignment="1">
      <alignment horizontal="center" vertical="center" wrapText="1"/>
    </xf>
    <xf numFmtId="167" fontId="2" fillId="5" borderId="4" xfId="0" applyNumberFormat="1" applyFont="1" applyFill="1" applyBorder="1"/>
    <xf numFmtId="0" fontId="2" fillId="5" borderId="9" xfId="0" applyFont="1" applyFill="1" applyBorder="1" applyAlignment="1">
      <alignment horizontal="center"/>
    </xf>
    <xf numFmtId="0" fontId="2" fillId="5" borderId="3" xfId="0" applyFont="1" applyFill="1" applyBorder="1" applyAlignment="1">
      <alignment horizontal="center"/>
    </xf>
    <xf numFmtId="0" fontId="2" fillId="5" borderId="0" xfId="0" applyFont="1" applyFill="1" applyBorder="1"/>
    <xf numFmtId="0" fontId="20" fillId="5" borderId="4" xfId="0" applyFont="1" applyFill="1" applyBorder="1" applyAlignment="1">
      <alignment horizontal="left" vertical="center" wrapText="1"/>
    </xf>
    <xf numFmtId="167" fontId="20" fillId="5" borderId="4" xfId="0" applyNumberFormat="1" applyFont="1" applyFill="1" applyBorder="1"/>
    <xf numFmtId="0" fontId="20" fillId="5" borderId="4" xfId="0" applyFont="1" applyFill="1" applyBorder="1"/>
    <xf numFmtId="0" fontId="20" fillId="5" borderId="9" xfId="0" applyFont="1" applyFill="1" applyBorder="1" applyAlignment="1">
      <alignment horizontal="center"/>
    </xf>
    <xf numFmtId="0" fontId="20" fillId="5" borderId="3" xfId="0" applyFont="1" applyFill="1" applyBorder="1" applyAlignment="1">
      <alignment horizontal="center"/>
    </xf>
    <xf numFmtId="0" fontId="20" fillId="5" borderId="0" xfId="0" applyFont="1" applyFill="1" applyBorder="1"/>
    <xf numFmtId="0" fontId="2" fillId="5" borderId="0" xfId="0" applyFont="1" applyFill="1" applyAlignment="1">
      <alignment horizontal="left" vertical="center" wrapText="1"/>
    </xf>
    <xf numFmtId="3" fontId="20" fillId="5" borderId="0" xfId="0" applyNumberFormat="1" applyFont="1" applyFill="1" applyBorder="1" applyAlignment="1">
      <alignment horizontal="left" vertical="center" wrapText="1"/>
    </xf>
    <xf numFmtId="167" fontId="2" fillId="5" borderId="0" xfId="0" applyNumberFormat="1" applyFont="1" applyFill="1" applyAlignment="1">
      <alignment vertical="top"/>
    </xf>
    <xf numFmtId="49" fontId="20" fillId="5" borderId="0" xfId="0" applyNumberFormat="1" applyFont="1" applyFill="1" applyBorder="1" applyAlignment="1">
      <alignment horizontal="center" vertical="center"/>
    </xf>
    <xf numFmtId="0" fontId="20" fillId="5" borderId="4" xfId="0" applyFont="1" applyFill="1" applyBorder="1" applyAlignment="1">
      <alignment vertical="center"/>
    </xf>
    <xf numFmtId="0" fontId="20" fillId="5" borderId="4" xfId="0" applyFont="1" applyFill="1" applyBorder="1" applyAlignment="1">
      <alignment vertical="top"/>
    </xf>
    <xf numFmtId="3" fontId="30" fillId="5" borderId="9" xfId="0" applyNumberFormat="1" applyFont="1" applyFill="1" applyBorder="1" applyAlignment="1">
      <alignment horizontal="left" vertical="center"/>
    </xf>
    <xf numFmtId="3" fontId="30" fillId="5" borderId="3" xfId="0" applyNumberFormat="1" applyFont="1" applyFill="1" applyBorder="1" applyAlignment="1">
      <alignment horizontal="left" vertical="center"/>
    </xf>
    <xf numFmtId="164" fontId="3" fillId="7" borderId="4" xfId="0" applyNumberFormat="1" applyFont="1" applyFill="1" applyBorder="1" applyAlignment="1">
      <alignment horizontal="center" vertical="center"/>
    </xf>
    <xf numFmtId="0" fontId="13" fillId="0" borderId="4" xfId="0" applyFont="1" applyBorder="1" applyAlignment="1">
      <alignment horizontal="left" vertical="center"/>
    </xf>
    <xf numFmtId="0" fontId="3" fillId="6" borderId="4" xfId="0" applyFont="1" applyFill="1" applyBorder="1" applyAlignment="1">
      <alignment vertical="center" wrapText="1"/>
    </xf>
    <xf numFmtId="0" fontId="18" fillId="7" borderId="4" xfId="0" applyFont="1" applyFill="1" applyBorder="1" applyAlignment="1">
      <alignment vertical="center" wrapText="1"/>
    </xf>
    <xf numFmtId="3" fontId="18" fillId="7" borderId="4" xfId="0" applyNumberFormat="1" applyFont="1" applyFill="1" applyBorder="1" applyAlignment="1">
      <alignment horizontal="center" vertical="center"/>
    </xf>
    <xf numFmtId="3" fontId="2" fillId="8" borderId="4" xfId="0" applyNumberFormat="1" applyFont="1" applyFill="1" applyBorder="1" applyAlignment="1">
      <alignment horizontal="center" vertical="center" wrapText="1"/>
    </xf>
    <xf numFmtId="0" fontId="16" fillId="0" borderId="0" xfId="0" applyFont="1" applyAlignment="1"/>
    <xf numFmtId="0" fontId="13" fillId="0" borderId="0" xfId="0" applyFont="1" applyAlignment="1">
      <alignment horizontal="right"/>
    </xf>
    <xf numFmtId="0" fontId="13" fillId="0" borderId="4" xfId="0" applyFont="1" applyBorder="1" applyAlignment="1">
      <alignment horizontal="left" vertical="center" wrapText="1"/>
    </xf>
    <xf numFmtId="3" fontId="13" fillId="0" borderId="4" xfId="0" applyNumberFormat="1" applyFont="1" applyBorder="1"/>
    <xf numFmtId="0" fontId="13" fillId="0" borderId="0" xfId="0" applyFont="1" applyBorder="1"/>
    <xf numFmtId="3" fontId="13" fillId="0" borderId="0" xfId="0" applyNumberFormat="1" applyFont="1" applyBorder="1"/>
    <xf numFmtId="0" fontId="13" fillId="0" borderId="0" xfId="0" applyFont="1" applyBorder="1" applyAlignment="1">
      <alignment horizontal="left" vertical="center" wrapText="1"/>
    </xf>
    <xf numFmtId="0" fontId="17" fillId="0" borderId="4" xfId="0" applyFont="1" applyBorder="1"/>
    <xf numFmtId="3" fontId="20" fillId="6" borderId="0" xfId="0" applyNumberFormat="1" applyFont="1" applyFill="1" applyBorder="1" applyAlignment="1">
      <alignment horizontal="center" vertical="center" wrapText="1"/>
    </xf>
    <xf numFmtId="0" fontId="0" fillId="0" borderId="0" xfId="0" applyBorder="1"/>
    <xf numFmtId="3" fontId="0" fillId="0" borderId="0" xfId="0" applyNumberFormat="1" applyBorder="1"/>
    <xf numFmtId="0" fontId="2" fillId="5" borderId="4" xfId="0" applyNumberFormat="1" applyFont="1" applyFill="1" applyBorder="1" applyAlignment="1">
      <alignment horizontal="left" vertical="center" wrapText="1"/>
    </xf>
    <xf numFmtId="0" fontId="2" fillId="5" borderId="0" xfId="0" applyFont="1" applyFill="1" applyAlignment="1">
      <alignment vertical="center"/>
    </xf>
    <xf numFmtId="164" fontId="20" fillId="5" borderId="4" xfId="0" applyNumberFormat="1" applyFont="1" applyFill="1" applyBorder="1" applyAlignment="1">
      <alignment horizontal="center" vertical="center"/>
    </xf>
    <xf numFmtId="3" fontId="2" fillId="5" borderId="4" xfId="0" applyNumberFormat="1" applyFont="1" applyFill="1" applyBorder="1" applyAlignment="1">
      <alignment horizontal="center" vertical="center" wrapText="1"/>
    </xf>
    <xf numFmtId="3" fontId="2" fillId="5" borderId="2" xfId="0" applyNumberFormat="1" applyFont="1" applyFill="1" applyBorder="1" applyAlignment="1">
      <alignment horizontal="center" vertical="center" wrapText="1"/>
    </xf>
    <xf numFmtId="164" fontId="2" fillId="5" borderId="4" xfId="0" applyNumberFormat="1" applyFont="1" applyFill="1" applyBorder="1" applyAlignment="1">
      <alignment horizontal="center" vertical="center" wrapText="1"/>
    </xf>
    <xf numFmtId="164" fontId="20" fillId="5" borderId="4" xfId="0" applyNumberFormat="1" applyFont="1" applyFill="1" applyBorder="1" applyAlignment="1">
      <alignment horizontal="center" vertical="center" wrapText="1"/>
    </xf>
    <xf numFmtId="3" fontId="34" fillId="5" borderId="4" xfId="0" applyNumberFormat="1" applyFont="1" applyFill="1" applyBorder="1" applyAlignment="1">
      <alignment horizontal="center" vertical="center" wrapText="1"/>
    </xf>
    <xf numFmtId="3" fontId="34" fillId="5" borderId="4" xfId="0" applyNumberFormat="1" applyFont="1" applyFill="1" applyBorder="1" applyAlignment="1">
      <alignment horizontal="center" vertical="center"/>
    </xf>
    <xf numFmtId="49" fontId="2" fillId="5" borderId="4" xfId="0" applyNumberFormat="1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left" vertical="center"/>
    </xf>
    <xf numFmtId="49" fontId="1" fillId="5" borderId="0" xfId="0" applyNumberFormat="1" applyFont="1" applyFill="1" applyAlignment="1">
      <alignment horizontal="center" wrapText="1"/>
    </xf>
    <xf numFmtId="49" fontId="20" fillId="5" borderId="4" xfId="0" applyNumberFormat="1" applyFont="1" applyFill="1" applyBorder="1" applyAlignment="1">
      <alignment horizontal="center" vertical="center" wrapText="1"/>
    </xf>
    <xf numFmtId="0" fontId="20" fillId="5" borderId="4" xfId="0" applyFont="1" applyFill="1" applyBorder="1" applyAlignment="1">
      <alignment vertical="center" wrapText="1"/>
    </xf>
    <xf numFmtId="1" fontId="20" fillId="5" borderId="4" xfId="0" applyNumberFormat="1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vertical="center"/>
    </xf>
    <xf numFmtId="0" fontId="20" fillId="5" borderId="0" xfId="0" applyFont="1" applyFill="1"/>
    <xf numFmtId="0" fontId="20" fillId="5" borderId="4" xfId="0" applyNumberFormat="1" applyFont="1" applyFill="1" applyBorder="1" applyAlignment="1">
      <alignment horizontal="left" vertical="center" wrapText="1"/>
    </xf>
    <xf numFmtId="3" fontId="33" fillId="5" borderId="4" xfId="0" applyNumberFormat="1" applyFont="1" applyFill="1" applyBorder="1" applyAlignment="1">
      <alignment horizontal="center" vertical="center" wrapText="1"/>
    </xf>
    <xf numFmtId="49" fontId="2" fillId="5" borderId="4" xfId="1" applyNumberFormat="1" applyFont="1" applyFill="1" applyBorder="1" applyAlignment="1">
      <alignment horizontal="center" vertical="center" wrapText="1"/>
    </xf>
    <xf numFmtId="0" fontId="31" fillId="5" borderId="0" xfId="0" applyFont="1" applyFill="1"/>
    <xf numFmtId="0" fontId="31" fillId="5" borderId="4" xfId="0" applyFont="1" applyFill="1" applyBorder="1"/>
    <xf numFmtId="0" fontId="28" fillId="5" borderId="4" xfId="0" applyFont="1" applyFill="1" applyBorder="1" applyAlignment="1">
      <alignment horizontal="left" vertical="center"/>
    </xf>
    <xf numFmtId="49" fontId="2" fillId="5" borderId="0" xfId="1" applyNumberFormat="1" applyFont="1" applyFill="1" applyBorder="1" applyAlignment="1">
      <alignment horizontal="center" vertical="center" wrapText="1"/>
    </xf>
    <xf numFmtId="0" fontId="2" fillId="5" borderId="0" xfId="0" applyFont="1" applyFill="1" applyBorder="1" applyAlignment="1">
      <alignment vertical="center"/>
    </xf>
    <xf numFmtId="0" fontId="2" fillId="5" borderId="0" xfId="0" applyFont="1" applyFill="1" applyBorder="1" applyAlignment="1">
      <alignment horizontal="left" vertical="center"/>
    </xf>
    <xf numFmtId="49" fontId="19" fillId="5" borderId="0" xfId="1" applyNumberFormat="1" applyFont="1" applyFill="1" applyBorder="1" applyAlignment="1">
      <alignment horizontal="center" vertical="center" wrapText="1"/>
    </xf>
    <xf numFmtId="0" fontId="19" fillId="5" borderId="0" xfId="0" applyFont="1" applyFill="1"/>
    <xf numFmtId="0" fontId="2" fillId="5" borderId="0" xfId="0" applyFont="1" applyFill="1" applyAlignment="1">
      <alignment horizontal="left" vertical="center"/>
    </xf>
    <xf numFmtId="0" fontId="32" fillId="5" borderId="0" xfId="0" applyFont="1" applyFill="1"/>
    <xf numFmtId="0" fontId="32" fillId="5" borderId="0" xfId="0" applyFont="1" applyFill="1" applyAlignment="1">
      <alignment horizontal="center"/>
    </xf>
    <xf numFmtId="0" fontId="32" fillId="5" borderId="0" xfId="0" applyFont="1" applyFill="1" applyAlignment="1">
      <alignment horizontal="center" vertical="center"/>
    </xf>
    <xf numFmtId="0" fontId="32" fillId="5" borderId="0" xfId="0" applyFont="1" applyFill="1" applyAlignment="1">
      <alignment horizontal="left" vertical="center"/>
    </xf>
    <xf numFmtId="0" fontId="2" fillId="5" borderId="2" xfId="0" applyFont="1" applyFill="1" applyBorder="1" applyAlignment="1">
      <alignment horizontal="center" vertical="center" wrapText="1"/>
    </xf>
    <xf numFmtId="49" fontId="2" fillId="5" borderId="2" xfId="0" applyNumberFormat="1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left" vertical="center" wrapText="1"/>
    </xf>
    <xf numFmtId="164" fontId="2" fillId="5" borderId="2" xfId="0" applyNumberFormat="1" applyFont="1" applyFill="1" applyBorder="1" applyAlignment="1">
      <alignment horizontal="center" vertical="center" wrapText="1"/>
    </xf>
    <xf numFmtId="3" fontId="2" fillId="5" borderId="2" xfId="0" applyNumberFormat="1" applyFont="1" applyFill="1" applyBorder="1" applyAlignment="1">
      <alignment horizontal="left" vertical="center" wrapText="1"/>
    </xf>
    <xf numFmtId="3" fontId="2" fillId="5" borderId="4" xfId="0" applyNumberFormat="1" applyFont="1" applyFill="1" applyBorder="1" applyAlignment="1">
      <alignment horizontal="center" vertical="center" wrapText="1"/>
    </xf>
    <xf numFmtId="3" fontId="2" fillId="5" borderId="4" xfId="0" applyNumberFormat="1" applyFont="1" applyFill="1" applyBorder="1" applyAlignment="1">
      <alignment horizontal="center" vertical="center" wrapText="1"/>
    </xf>
    <xf numFmtId="3" fontId="35" fillId="5" borderId="4" xfId="0" applyNumberFormat="1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3" fontId="2" fillId="5" borderId="4" xfId="0" applyNumberFormat="1" applyFont="1" applyFill="1" applyBorder="1" applyAlignment="1">
      <alignment horizontal="center" vertical="center" wrapText="1"/>
    </xf>
    <xf numFmtId="168" fontId="28" fillId="5" borderId="4" xfId="0" applyNumberFormat="1" applyFont="1" applyFill="1" applyBorder="1" applyAlignment="1">
      <alignment horizontal="center" vertical="center"/>
    </xf>
    <xf numFmtId="168" fontId="2" fillId="5" borderId="4" xfId="0" applyNumberFormat="1" applyFont="1" applyFill="1" applyBorder="1" applyAlignment="1">
      <alignment horizontal="center" vertical="center" wrapText="1"/>
    </xf>
    <xf numFmtId="3" fontId="2" fillId="5" borderId="2" xfId="0" applyNumberFormat="1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3" fontId="2" fillId="5" borderId="4" xfId="0" applyNumberFormat="1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left" vertical="center" wrapText="1"/>
    </xf>
    <xf numFmtId="164" fontId="2" fillId="5" borderId="4" xfId="0" applyNumberFormat="1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 wrapText="1"/>
    </xf>
    <xf numFmtId="164" fontId="2" fillId="5" borderId="4" xfId="0" applyNumberFormat="1" applyFont="1" applyFill="1" applyBorder="1" applyAlignment="1">
      <alignment horizontal="center" vertical="center"/>
    </xf>
    <xf numFmtId="3" fontId="2" fillId="5" borderId="4" xfId="0" applyNumberFormat="1" applyFont="1" applyFill="1" applyBorder="1" applyAlignment="1">
      <alignment horizontal="center" vertical="center" wrapText="1"/>
    </xf>
    <xf numFmtId="3" fontId="2" fillId="5" borderId="2" xfId="0" applyNumberFormat="1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/>
    </xf>
    <xf numFmtId="1" fontId="2" fillId="5" borderId="4" xfId="0" applyNumberFormat="1" applyFont="1" applyFill="1" applyBorder="1" applyAlignment="1">
      <alignment horizontal="center" vertical="center"/>
    </xf>
    <xf numFmtId="0" fontId="28" fillId="5" borderId="4" xfId="0" applyFont="1" applyFill="1" applyBorder="1" applyAlignment="1">
      <alignment horizontal="left" vertical="center" wrapText="1"/>
    </xf>
    <xf numFmtId="3" fontId="2" fillId="5" borderId="0" xfId="0" applyNumberFormat="1" applyFont="1" applyFill="1" applyBorder="1" applyAlignment="1">
      <alignment vertical="center"/>
    </xf>
    <xf numFmtId="3" fontId="2" fillId="5" borderId="4" xfId="0" applyNumberFormat="1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3" fontId="2" fillId="5" borderId="4" xfId="0" applyNumberFormat="1" applyFont="1" applyFill="1" applyBorder="1" applyAlignment="1">
      <alignment horizontal="center" vertical="center" wrapText="1"/>
    </xf>
    <xf numFmtId="3" fontId="2" fillId="5" borderId="4" xfId="0" applyNumberFormat="1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3" fontId="2" fillId="5" borderId="4" xfId="0" applyNumberFormat="1" applyFont="1" applyFill="1" applyBorder="1" applyAlignment="1">
      <alignment horizontal="center" vertical="center" wrapText="1"/>
    </xf>
    <xf numFmtId="0" fontId="1" fillId="5" borderId="0" xfId="0" applyNumberFormat="1" applyFont="1" applyFill="1" applyBorder="1" applyAlignment="1" applyProtection="1">
      <alignment horizontal="center" vertical="center" wrapText="1"/>
    </xf>
    <xf numFmtId="3" fontId="2" fillId="5" borderId="2" xfId="0" applyNumberFormat="1" applyFont="1" applyFill="1" applyBorder="1" applyAlignment="1">
      <alignment horizontal="center" vertical="center" wrapText="1"/>
    </xf>
    <xf numFmtId="0" fontId="36" fillId="6" borderId="1" xfId="0" applyFont="1" applyFill="1" applyBorder="1" applyAlignment="1">
      <alignment horizontal="left" vertical="center" wrapText="1"/>
    </xf>
    <xf numFmtId="0" fontId="36" fillId="0" borderId="1" xfId="0" applyFont="1" applyBorder="1" applyAlignment="1">
      <alignment horizontal="left" vertical="center" wrapText="1"/>
    </xf>
    <xf numFmtId="3" fontId="2" fillId="5" borderId="4" xfId="0" applyNumberFormat="1" applyFont="1" applyFill="1" applyBorder="1" applyAlignment="1">
      <alignment horizontal="center" vertical="center" wrapText="1"/>
    </xf>
    <xf numFmtId="0" fontId="36" fillId="6" borderId="4" xfId="0" applyFont="1" applyFill="1" applyBorder="1" applyAlignment="1">
      <alignment vertical="center" wrapText="1"/>
    </xf>
    <xf numFmtId="3" fontId="28" fillId="0" borderId="4" xfId="0" applyNumberFormat="1" applyFont="1" applyFill="1" applyBorder="1" applyAlignment="1">
      <alignment horizontal="center" vertical="center"/>
    </xf>
    <xf numFmtId="0" fontId="2" fillId="7" borderId="4" xfId="0" applyFont="1" applyFill="1" applyBorder="1" applyAlignment="1">
      <alignment horizontal="left" vertical="center" wrapText="1"/>
    </xf>
    <xf numFmtId="3" fontId="2" fillId="7" borderId="4" xfId="0" applyNumberFormat="1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left" vertical="center" wrapText="1"/>
    </xf>
    <xf numFmtId="49" fontId="2" fillId="7" borderId="4" xfId="1" applyNumberFormat="1" applyFont="1" applyFill="1" applyBorder="1" applyAlignment="1">
      <alignment horizontal="center" vertical="center" wrapText="1"/>
    </xf>
    <xf numFmtId="0" fontId="2" fillId="7" borderId="4" xfId="0" applyFont="1" applyFill="1" applyBorder="1" applyAlignment="1">
      <alignment vertical="center" wrapText="1"/>
    </xf>
    <xf numFmtId="0" fontId="2" fillId="7" borderId="4" xfId="0" applyFont="1" applyFill="1" applyBorder="1" applyAlignment="1">
      <alignment horizontal="center" vertical="center" wrapText="1"/>
    </xf>
    <xf numFmtId="164" fontId="2" fillId="7" borderId="4" xfId="0" applyNumberFormat="1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3" fontId="2" fillId="5" borderId="2" xfId="0" applyNumberFormat="1" applyFont="1" applyFill="1" applyBorder="1" applyAlignment="1">
      <alignment horizontal="center" vertical="center" wrapText="1"/>
    </xf>
    <xf numFmtId="3" fontId="2" fillId="5" borderId="4" xfId="0" applyNumberFormat="1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/>
    </xf>
    <xf numFmtId="3" fontId="34" fillId="5" borderId="0" xfId="0" applyNumberFormat="1" applyFont="1" applyFill="1" applyBorder="1" applyAlignment="1">
      <alignment horizontal="center" vertical="center" wrapText="1"/>
    </xf>
    <xf numFmtId="3" fontId="34" fillId="5" borderId="0" xfId="0" applyNumberFormat="1" applyFont="1" applyFill="1" applyBorder="1" applyAlignment="1">
      <alignment horizontal="center" vertical="center"/>
    </xf>
    <xf numFmtId="1" fontId="2" fillId="7" borderId="4" xfId="0" applyNumberFormat="1" applyFont="1" applyFill="1" applyBorder="1" applyAlignment="1">
      <alignment horizontal="center" vertical="center"/>
    </xf>
    <xf numFmtId="164" fontId="2" fillId="7" borderId="4" xfId="0" applyNumberFormat="1" applyFont="1" applyFill="1" applyBorder="1" applyAlignment="1">
      <alignment horizontal="center" vertical="center"/>
    </xf>
    <xf numFmtId="1" fontId="2" fillId="7" borderId="4" xfId="0" applyNumberFormat="1" applyFont="1" applyFill="1" applyBorder="1" applyAlignment="1">
      <alignment horizontal="center" vertical="center" wrapText="1"/>
    </xf>
    <xf numFmtId="0" fontId="36" fillId="5" borderId="0" xfId="0" applyFont="1" applyFill="1"/>
    <xf numFmtId="3" fontId="2" fillId="5" borderId="4" xfId="0" applyNumberFormat="1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/>
    </xf>
    <xf numFmtId="3" fontId="25" fillId="5" borderId="4" xfId="0" applyNumberFormat="1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 wrapText="1"/>
    </xf>
    <xf numFmtId="3" fontId="2" fillId="5" borderId="4" xfId="0" applyNumberFormat="1" applyFont="1" applyFill="1" applyBorder="1" applyAlignment="1">
      <alignment horizontal="center" vertical="center" wrapText="1"/>
    </xf>
    <xf numFmtId="0" fontId="25" fillId="7" borderId="4" xfId="0" applyFont="1" applyFill="1" applyBorder="1" applyAlignment="1">
      <alignment horizontal="left" vertical="center"/>
    </xf>
    <xf numFmtId="1" fontId="2" fillId="7" borderId="4" xfId="0" applyNumberFormat="1" applyFont="1" applyFill="1" applyBorder="1" applyAlignment="1">
      <alignment vertical="center" wrapText="1"/>
    </xf>
    <xf numFmtId="0" fontId="25" fillId="7" borderId="4" xfId="0" applyFont="1" applyFill="1" applyBorder="1" applyAlignment="1">
      <alignment horizontal="left" vertical="center" wrapText="1"/>
    </xf>
    <xf numFmtId="3" fontId="2" fillId="5" borderId="4" xfId="0" applyNumberFormat="1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49" fontId="2" fillId="7" borderId="4" xfId="0" applyNumberFormat="1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3" fontId="35" fillId="7" borderId="4" xfId="0" applyNumberFormat="1" applyFont="1" applyFill="1" applyBorder="1" applyAlignment="1">
      <alignment horizontal="center" vertical="center" wrapText="1"/>
    </xf>
    <xf numFmtId="3" fontId="38" fillId="7" borderId="2" xfId="0" applyNumberFormat="1" applyFont="1" applyFill="1" applyBorder="1" applyAlignment="1">
      <alignment horizontal="center" vertical="center" wrapText="1"/>
    </xf>
    <xf numFmtId="3" fontId="2" fillId="5" borderId="4" xfId="0" applyNumberFormat="1" applyFont="1" applyFill="1" applyBorder="1" applyAlignment="1">
      <alignment horizontal="center" vertical="center"/>
    </xf>
    <xf numFmtId="3" fontId="2" fillId="5" borderId="4" xfId="0" applyNumberFormat="1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5" fillId="0" borderId="4" xfId="0" applyFont="1" applyBorder="1" applyAlignment="1">
      <alignment horizontal="left" vertical="center" wrapText="1"/>
    </xf>
    <xf numFmtId="0" fontId="36" fillId="6" borderId="4" xfId="0" applyFont="1" applyFill="1" applyBorder="1" applyAlignment="1">
      <alignment horizontal="left" vertical="center" wrapText="1"/>
    </xf>
    <xf numFmtId="0" fontId="36" fillId="5" borderId="1" xfId="0" applyFont="1" applyFill="1" applyBorder="1" applyAlignment="1">
      <alignment horizontal="left" vertical="center" wrapText="1"/>
    </xf>
    <xf numFmtId="0" fontId="36" fillId="0" borderId="1" xfId="0" applyFont="1" applyFill="1" applyBorder="1" applyAlignment="1">
      <alignment horizontal="left" vertical="center" wrapText="1"/>
    </xf>
    <xf numFmtId="0" fontId="36" fillId="0" borderId="4" xfId="0" applyFont="1" applyFill="1" applyBorder="1" applyAlignment="1">
      <alignment vertical="center" wrapText="1"/>
    </xf>
    <xf numFmtId="0" fontId="36" fillId="0" borderId="4" xfId="0" applyFont="1" applyFill="1" applyBorder="1" applyAlignment="1">
      <alignment horizontal="left" vertical="center" wrapText="1"/>
    </xf>
    <xf numFmtId="49" fontId="36" fillId="5" borderId="4" xfId="0" applyNumberFormat="1" applyFont="1" applyFill="1" applyBorder="1" applyAlignment="1">
      <alignment horizontal="center" vertical="center"/>
    </xf>
    <xf numFmtId="0" fontId="36" fillId="5" borderId="4" xfId="0" applyFont="1" applyFill="1" applyBorder="1" applyAlignment="1">
      <alignment vertical="center" wrapText="1"/>
    </xf>
    <xf numFmtId="49" fontId="36" fillId="0" borderId="1" xfId="0" applyNumberFormat="1" applyFont="1" applyFill="1" applyBorder="1" applyAlignment="1">
      <alignment horizontal="center" vertical="center"/>
    </xf>
    <xf numFmtId="0" fontId="36" fillId="6" borderId="1" xfId="0" applyFont="1" applyFill="1" applyBorder="1" applyAlignment="1">
      <alignment vertical="center" wrapText="1"/>
    </xf>
    <xf numFmtId="49" fontId="36" fillId="0" borderId="4" xfId="0" applyNumberFormat="1" applyFont="1" applyFill="1" applyBorder="1" applyAlignment="1">
      <alignment horizontal="center" vertical="center"/>
    </xf>
    <xf numFmtId="3" fontId="28" fillId="0" borderId="1" xfId="0" applyNumberFormat="1" applyFont="1" applyBorder="1" applyAlignment="1">
      <alignment horizontal="center" vertical="center"/>
    </xf>
    <xf numFmtId="3" fontId="28" fillId="0" borderId="4" xfId="0" applyNumberFormat="1" applyFont="1" applyBorder="1" applyAlignment="1">
      <alignment horizontal="center" vertical="center"/>
    </xf>
    <xf numFmtId="3" fontId="28" fillId="5" borderId="1" xfId="0" applyNumberFormat="1" applyFont="1" applyFill="1" applyBorder="1" applyAlignment="1">
      <alignment horizontal="center" vertical="center"/>
    </xf>
    <xf numFmtId="3" fontId="28" fillId="5" borderId="1" xfId="0" applyNumberFormat="1" applyFont="1" applyFill="1" applyBorder="1" applyAlignment="1">
      <alignment horizontal="center" vertical="center" wrapText="1"/>
    </xf>
    <xf numFmtId="3" fontId="36" fillId="0" borderId="4" xfId="0" applyNumberFormat="1" applyFont="1" applyFill="1" applyBorder="1" applyAlignment="1">
      <alignment horizontal="center" vertical="center" wrapText="1"/>
    </xf>
    <xf numFmtId="3" fontId="36" fillId="0" borderId="2" xfId="0" applyNumberFormat="1" applyFont="1" applyFill="1" applyBorder="1" applyAlignment="1">
      <alignment horizontal="center" vertical="center" wrapText="1"/>
    </xf>
    <xf numFmtId="1" fontId="36" fillId="0" borderId="4" xfId="0" applyNumberFormat="1" applyFont="1" applyFill="1" applyBorder="1" applyAlignment="1">
      <alignment horizontal="center" vertical="center" wrapText="1"/>
    </xf>
    <xf numFmtId="3" fontId="40" fillId="0" borderId="4" xfId="0" applyNumberFormat="1" applyFont="1" applyFill="1" applyBorder="1" applyAlignment="1">
      <alignment horizontal="center" vertical="center" wrapText="1"/>
    </xf>
    <xf numFmtId="1" fontId="40" fillId="0" borderId="4" xfId="0" applyNumberFormat="1" applyFont="1" applyFill="1" applyBorder="1" applyAlignment="1">
      <alignment horizontal="center" vertical="center" wrapText="1"/>
    </xf>
    <xf numFmtId="0" fontId="36" fillId="0" borderId="4" xfId="0" applyNumberFormat="1" applyFont="1" applyFill="1" applyBorder="1" applyAlignment="1">
      <alignment horizontal="left" vertical="center" wrapText="1"/>
    </xf>
    <xf numFmtId="0" fontId="40" fillId="5" borderId="4" xfId="0" applyFont="1" applyFill="1" applyBorder="1" applyAlignment="1">
      <alignment horizontal="center" vertical="center" wrapText="1"/>
    </xf>
    <xf numFmtId="3" fontId="40" fillId="5" borderId="4" xfId="0" applyNumberFormat="1" applyFont="1" applyFill="1" applyBorder="1" applyAlignment="1">
      <alignment horizontal="center" vertical="center" wrapText="1"/>
    </xf>
    <xf numFmtId="3" fontId="36" fillId="0" borderId="2" xfId="0" applyNumberFormat="1" applyFont="1" applyFill="1" applyBorder="1" applyAlignment="1">
      <alignment horizontal="left" vertical="center" wrapText="1"/>
    </xf>
    <xf numFmtId="3" fontId="36" fillId="0" borderId="4" xfId="0" applyNumberFormat="1" applyFont="1" applyFill="1" applyBorder="1" applyAlignment="1">
      <alignment horizontal="left" vertical="center" wrapText="1"/>
    </xf>
    <xf numFmtId="0" fontId="28" fillId="0" borderId="4" xfId="0" applyFont="1" applyFill="1" applyBorder="1" applyAlignment="1">
      <alignment horizontal="left" vertical="center" wrapText="1"/>
    </xf>
    <xf numFmtId="0" fontId="36" fillId="5" borderId="4" xfId="0" applyFont="1" applyFill="1" applyBorder="1" applyAlignment="1">
      <alignment horizontal="left" vertical="center"/>
    </xf>
    <xf numFmtId="0" fontId="36" fillId="5" borderId="0" xfId="0" applyFont="1" applyFill="1" applyBorder="1" applyAlignment="1">
      <alignment horizontal="left" vertical="center"/>
    </xf>
    <xf numFmtId="0" fontId="36" fillId="5" borderId="0" xfId="0" applyFont="1" applyFill="1" applyAlignment="1">
      <alignment horizontal="left" vertical="center"/>
    </xf>
    <xf numFmtId="49" fontId="40" fillId="5" borderId="0" xfId="0" applyNumberFormat="1" applyFont="1" applyFill="1" applyAlignment="1">
      <alignment horizontal="center" wrapText="1"/>
    </xf>
    <xf numFmtId="0" fontId="40" fillId="5" borderId="0" xfId="0" applyNumberFormat="1" applyFont="1" applyFill="1" applyBorder="1" applyAlignment="1" applyProtection="1">
      <alignment horizontal="center" vertical="center" wrapText="1"/>
    </xf>
    <xf numFmtId="49" fontId="40" fillId="5" borderId="4" xfId="0" applyNumberFormat="1" applyFont="1" applyFill="1" applyBorder="1" applyAlignment="1">
      <alignment horizontal="center" vertical="center" wrapText="1"/>
    </xf>
    <xf numFmtId="0" fontId="40" fillId="5" borderId="4" xfId="0" applyFont="1" applyFill="1" applyBorder="1" applyAlignment="1">
      <alignment horizontal="left" vertical="center" wrapText="1"/>
    </xf>
    <xf numFmtId="0" fontId="40" fillId="0" borderId="4" xfId="0" applyFont="1" applyFill="1" applyBorder="1" applyAlignment="1">
      <alignment vertical="center" wrapText="1"/>
    </xf>
    <xf numFmtId="49" fontId="40" fillId="0" borderId="4" xfId="0" applyNumberFormat="1" applyFont="1" applyFill="1" applyBorder="1" applyAlignment="1">
      <alignment horizontal="center" vertical="center" wrapText="1"/>
    </xf>
    <xf numFmtId="0" fontId="36" fillId="0" borderId="4" xfId="0" applyFont="1" applyFill="1" applyBorder="1"/>
    <xf numFmtId="0" fontId="36" fillId="0" borderId="4" xfId="0" applyFont="1" applyFill="1" applyBorder="1" applyAlignment="1">
      <alignment horizontal="center" vertical="center" wrapText="1"/>
    </xf>
    <xf numFmtId="0" fontId="36" fillId="0" borderId="0" xfId="0" applyFont="1" applyFill="1"/>
    <xf numFmtId="0" fontId="36" fillId="5" borderId="4" xfId="0" applyFont="1" applyFill="1" applyBorder="1" applyAlignment="1">
      <alignment horizontal="left" vertical="center" wrapText="1"/>
    </xf>
    <xf numFmtId="0" fontId="36" fillId="0" borderId="0" xfId="0" applyFont="1" applyFill="1" applyAlignment="1">
      <alignment vertical="center"/>
    </xf>
    <xf numFmtId="0" fontId="28" fillId="5" borderId="4" xfId="0" applyFont="1" applyFill="1" applyBorder="1" applyAlignment="1">
      <alignment horizontal="center" vertical="center"/>
    </xf>
    <xf numFmtId="0" fontId="28" fillId="5" borderId="1" xfId="0" applyFont="1" applyFill="1" applyBorder="1" applyAlignment="1">
      <alignment horizontal="center" vertical="center"/>
    </xf>
    <xf numFmtId="49" fontId="36" fillId="0" borderId="4" xfId="0" applyNumberFormat="1" applyFont="1" applyFill="1" applyBorder="1" applyAlignment="1">
      <alignment horizontal="center" vertical="center" wrapText="1"/>
    </xf>
    <xf numFmtId="0" fontId="40" fillId="0" borderId="4" xfId="0" applyFont="1" applyFill="1" applyBorder="1" applyAlignment="1">
      <alignment horizontal="left" vertical="center" wrapText="1"/>
    </xf>
    <xf numFmtId="164" fontId="40" fillId="0" borderId="4" xfId="0" applyNumberFormat="1" applyFont="1" applyFill="1" applyBorder="1" applyAlignment="1">
      <alignment horizontal="center" vertical="center" wrapText="1"/>
    </xf>
    <xf numFmtId="0" fontId="36" fillId="0" borderId="4" xfId="0" applyFont="1" applyFill="1" applyBorder="1" applyAlignment="1">
      <alignment vertical="center"/>
    </xf>
    <xf numFmtId="164" fontId="36" fillId="0" borderId="4" xfId="0" applyNumberFormat="1" applyFont="1" applyFill="1" applyBorder="1" applyAlignment="1">
      <alignment horizontal="center" vertical="center"/>
    </xf>
    <xf numFmtId="164" fontId="36" fillId="0" borderId="4" xfId="0" applyNumberFormat="1" applyFont="1" applyFill="1" applyBorder="1" applyAlignment="1">
      <alignment horizontal="center" vertical="center" wrapText="1"/>
    </xf>
    <xf numFmtId="3" fontId="36" fillId="0" borderId="4" xfId="0" applyNumberFormat="1" applyFont="1" applyFill="1" applyBorder="1" applyAlignment="1">
      <alignment horizontal="center" vertical="center"/>
    </xf>
    <xf numFmtId="0" fontId="40" fillId="0" borderId="0" xfId="0" applyFont="1" applyFill="1"/>
    <xf numFmtId="0" fontId="36" fillId="0" borderId="2" xfId="0" applyFont="1" applyFill="1" applyBorder="1" applyAlignment="1">
      <alignment horizontal="center" vertical="center" wrapText="1"/>
    </xf>
    <xf numFmtId="164" fontId="40" fillId="0" borderId="4" xfId="0" applyNumberFormat="1" applyFont="1" applyFill="1" applyBorder="1" applyAlignment="1">
      <alignment horizontal="center" vertical="center"/>
    </xf>
    <xf numFmtId="0" fontId="36" fillId="0" borderId="4" xfId="0" applyFont="1" applyFill="1" applyBorder="1" applyAlignment="1">
      <alignment horizontal="center" vertical="center"/>
    </xf>
    <xf numFmtId="0" fontId="40" fillId="0" borderId="4" xfId="0" applyNumberFormat="1" applyFont="1" applyFill="1" applyBorder="1" applyAlignment="1">
      <alignment horizontal="left" vertical="center" wrapText="1"/>
    </xf>
    <xf numFmtId="3" fontId="42" fillId="0" borderId="4" xfId="0" applyNumberFormat="1" applyFont="1" applyFill="1" applyBorder="1" applyAlignment="1">
      <alignment horizontal="center" vertical="center" wrapText="1"/>
    </xf>
    <xf numFmtId="49" fontId="36" fillId="0" borderId="2" xfId="0" applyNumberFormat="1" applyFont="1" applyFill="1" applyBorder="1" applyAlignment="1">
      <alignment horizontal="center" vertical="center"/>
    </xf>
    <xf numFmtId="0" fontId="36" fillId="0" borderId="2" xfId="0" applyFont="1" applyFill="1" applyBorder="1" applyAlignment="1">
      <alignment horizontal="left" vertical="center" wrapText="1"/>
    </xf>
    <xf numFmtId="164" fontId="36" fillId="0" borderId="2" xfId="0" applyNumberFormat="1" applyFont="1" applyFill="1" applyBorder="1" applyAlignment="1">
      <alignment horizontal="center" vertical="center" wrapText="1"/>
    </xf>
    <xf numFmtId="3" fontId="43" fillId="0" borderId="2" xfId="0" applyNumberFormat="1" applyFont="1" applyFill="1" applyBorder="1" applyAlignment="1">
      <alignment horizontal="center" vertical="center" wrapText="1"/>
    </xf>
    <xf numFmtId="49" fontId="36" fillId="0" borderId="4" xfId="1" applyNumberFormat="1" applyFont="1" applyFill="1" applyBorder="1" applyAlignment="1">
      <alignment horizontal="center" vertical="center" wrapText="1"/>
    </xf>
    <xf numFmtId="0" fontId="44" fillId="0" borderId="0" xfId="0" applyFont="1" applyFill="1"/>
    <xf numFmtId="0" fontId="44" fillId="0" borderId="4" xfId="0" applyFont="1" applyFill="1" applyBorder="1"/>
    <xf numFmtId="0" fontId="28" fillId="0" borderId="4" xfId="0" applyFont="1" applyFill="1" applyBorder="1" applyAlignment="1">
      <alignment horizontal="left" vertical="center"/>
    </xf>
    <xf numFmtId="1" fontId="36" fillId="0" borderId="4" xfId="0" applyNumberFormat="1" applyFont="1" applyFill="1" applyBorder="1" applyAlignment="1">
      <alignment horizontal="center" vertical="center"/>
    </xf>
    <xf numFmtId="0" fontId="36" fillId="0" borderId="2" xfId="0" applyFont="1" applyFill="1" applyBorder="1" applyAlignment="1">
      <alignment horizontal="center" vertical="center"/>
    </xf>
    <xf numFmtId="1" fontId="36" fillId="0" borderId="4" xfId="0" applyNumberFormat="1" applyFont="1" applyFill="1" applyBorder="1" applyAlignment="1">
      <alignment vertical="center" wrapText="1"/>
    </xf>
    <xf numFmtId="49" fontId="36" fillId="5" borderId="4" xfId="1" applyNumberFormat="1" applyFont="1" applyFill="1" applyBorder="1" applyAlignment="1">
      <alignment horizontal="center" vertical="center" wrapText="1"/>
    </xf>
    <xf numFmtId="3" fontId="45" fillId="5" borderId="4" xfId="0" applyNumberFormat="1" applyFont="1" applyFill="1" applyBorder="1" applyAlignment="1">
      <alignment horizontal="center" vertical="center" wrapText="1"/>
    </xf>
    <xf numFmtId="3" fontId="45" fillId="5" borderId="4" xfId="0" applyNumberFormat="1" applyFont="1" applyFill="1" applyBorder="1" applyAlignment="1">
      <alignment horizontal="center" vertical="center"/>
    </xf>
    <xf numFmtId="0" fontId="36" fillId="5" borderId="4" xfId="0" applyFont="1" applyFill="1" applyBorder="1"/>
    <xf numFmtId="49" fontId="36" fillId="5" borderId="0" xfId="1" applyNumberFormat="1" applyFont="1" applyFill="1" applyBorder="1" applyAlignment="1">
      <alignment horizontal="center" vertical="center" wrapText="1"/>
    </xf>
    <xf numFmtId="0" fontId="40" fillId="5" borderId="0" xfId="0" applyFont="1" applyFill="1" applyBorder="1" applyAlignment="1">
      <alignment horizontal="left" vertical="center" wrapText="1"/>
    </xf>
    <xf numFmtId="3" fontId="40" fillId="5" borderId="0" xfId="0" applyNumberFormat="1" applyFont="1" applyFill="1" applyBorder="1" applyAlignment="1">
      <alignment horizontal="center" vertical="center" wrapText="1"/>
    </xf>
    <xf numFmtId="3" fontId="45" fillId="5" borderId="0" xfId="0" applyNumberFormat="1" applyFont="1" applyFill="1" applyBorder="1" applyAlignment="1">
      <alignment horizontal="center" vertical="center" wrapText="1"/>
    </xf>
    <xf numFmtId="3" fontId="45" fillId="5" borderId="0" xfId="0" applyNumberFormat="1" applyFont="1" applyFill="1" applyBorder="1" applyAlignment="1">
      <alignment horizontal="center" vertical="center"/>
    </xf>
    <xf numFmtId="0" fontId="36" fillId="5" borderId="0" xfId="0" applyFont="1" applyFill="1" applyBorder="1"/>
    <xf numFmtId="3" fontId="36" fillId="5" borderId="0" xfId="0" applyNumberFormat="1" applyFont="1" applyFill="1" applyBorder="1" applyAlignment="1">
      <alignment vertical="center"/>
    </xf>
    <xf numFmtId="0" fontId="36" fillId="5" borderId="0" xfId="0" applyFont="1" applyFill="1" applyBorder="1" applyAlignment="1">
      <alignment vertical="center"/>
    </xf>
    <xf numFmtId="0" fontId="36" fillId="5" borderId="0" xfId="0" applyFont="1" applyFill="1" applyAlignment="1">
      <alignment horizontal="center"/>
    </xf>
    <xf numFmtId="0" fontId="36" fillId="5" borderId="0" xfId="0" applyFont="1" applyFill="1" applyAlignment="1">
      <alignment horizontal="center" vertical="center"/>
    </xf>
    <xf numFmtId="3" fontId="36" fillId="0" borderId="4" xfId="0" applyNumberFormat="1" applyFont="1" applyFill="1" applyBorder="1" applyAlignment="1">
      <alignment horizontal="center" vertical="center" wrapText="1"/>
    </xf>
    <xf numFmtId="0" fontId="36" fillId="0" borderId="4" xfId="0" applyFont="1" applyFill="1" applyBorder="1" applyAlignment="1">
      <alignment horizontal="center" vertical="center" wrapText="1"/>
    </xf>
    <xf numFmtId="3" fontId="36" fillId="0" borderId="2" xfId="0" applyNumberFormat="1" applyFont="1" applyFill="1" applyBorder="1" applyAlignment="1">
      <alignment horizontal="center" vertical="center" wrapText="1"/>
    </xf>
    <xf numFmtId="0" fontId="36" fillId="0" borderId="2" xfId="0" applyFont="1" applyFill="1" applyBorder="1" applyAlignment="1">
      <alignment horizontal="center" vertical="center"/>
    </xf>
    <xf numFmtId="0" fontId="36" fillId="0" borderId="2" xfId="0" applyFont="1" applyFill="1" applyBorder="1" applyAlignment="1">
      <alignment horizontal="center" vertical="center" wrapText="1"/>
    </xf>
    <xf numFmtId="3" fontId="36" fillId="0" borderId="4" xfId="0" applyNumberFormat="1" applyFont="1" applyFill="1" applyBorder="1" applyAlignment="1">
      <alignment horizontal="center" vertical="center"/>
    </xf>
    <xf numFmtId="0" fontId="40" fillId="5" borderId="0" xfId="0" applyNumberFormat="1" applyFont="1" applyFill="1" applyBorder="1" applyAlignment="1" applyProtection="1">
      <alignment horizontal="center" vertical="center" wrapText="1"/>
    </xf>
    <xf numFmtId="164" fontId="36" fillId="0" borderId="4" xfId="0" applyNumberFormat="1" applyFont="1" applyFill="1" applyBorder="1" applyAlignment="1">
      <alignment horizontal="center" vertical="center"/>
    </xf>
    <xf numFmtId="3" fontId="39" fillId="0" borderId="2" xfId="0" applyNumberFormat="1" applyFont="1" applyFill="1" applyBorder="1" applyAlignment="1">
      <alignment horizontal="center" vertical="center" wrapText="1"/>
    </xf>
    <xf numFmtId="3" fontId="36" fillId="7" borderId="2" xfId="0" applyNumberFormat="1" applyFont="1" applyFill="1" applyBorder="1" applyAlignment="1">
      <alignment horizontal="center" vertical="center" wrapText="1"/>
    </xf>
    <xf numFmtId="3" fontId="36" fillId="0" borderId="4" xfId="0" applyNumberFormat="1" applyFont="1" applyFill="1" applyBorder="1" applyAlignment="1">
      <alignment horizontal="center" vertical="center" wrapText="1"/>
    </xf>
    <xf numFmtId="3" fontId="36" fillId="0" borderId="2" xfId="0" applyNumberFormat="1" applyFont="1" applyFill="1" applyBorder="1" applyAlignment="1">
      <alignment horizontal="center" vertical="center" wrapText="1"/>
    </xf>
    <xf numFmtId="3" fontId="43" fillId="0" borderId="4" xfId="0" applyNumberFormat="1" applyFont="1" applyFill="1" applyBorder="1" applyAlignment="1">
      <alignment horizontal="center" vertical="center" wrapText="1"/>
    </xf>
    <xf numFmtId="3" fontId="36" fillId="0" borderId="2" xfId="0" applyNumberFormat="1" applyFont="1" applyFill="1" applyBorder="1" applyAlignment="1">
      <alignment horizontal="center" vertical="center" wrapText="1"/>
    </xf>
    <xf numFmtId="0" fontId="36" fillId="0" borderId="4" xfId="0" applyFont="1" applyFill="1" applyBorder="1" applyAlignment="1">
      <alignment horizontal="center" vertical="center" wrapText="1"/>
    </xf>
    <xf numFmtId="0" fontId="40" fillId="5" borderId="0" xfId="0" applyNumberFormat="1" applyFont="1" applyFill="1" applyBorder="1" applyAlignment="1" applyProtection="1">
      <alignment horizontal="center" vertical="center" wrapText="1"/>
    </xf>
    <xf numFmtId="3" fontId="36" fillId="0" borderId="4" xfId="0" applyNumberFormat="1" applyFont="1" applyFill="1" applyBorder="1" applyAlignment="1">
      <alignment horizontal="center" vertical="center" wrapText="1"/>
    </xf>
    <xf numFmtId="164" fontId="36" fillId="0" borderId="4" xfId="0" applyNumberFormat="1" applyFont="1" applyFill="1" applyBorder="1" applyAlignment="1">
      <alignment horizontal="center" vertical="center"/>
    </xf>
    <xf numFmtId="0" fontId="36" fillId="0" borderId="2" xfId="0" applyFont="1" applyFill="1" applyBorder="1" applyAlignment="1">
      <alignment horizontal="center" vertical="center" wrapText="1"/>
    </xf>
    <xf numFmtId="3" fontId="36" fillId="0" borderId="4" xfId="0" applyNumberFormat="1" applyFont="1" applyFill="1" applyBorder="1" applyAlignment="1">
      <alignment horizontal="center" vertical="center"/>
    </xf>
    <xf numFmtId="0" fontId="36" fillId="0" borderId="2" xfId="0" applyFont="1" applyFill="1" applyBorder="1" applyAlignment="1">
      <alignment horizontal="center" vertical="center"/>
    </xf>
    <xf numFmtId="0" fontId="36" fillId="5" borderId="0" xfId="0" applyNumberFormat="1" applyFont="1" applyFill="1" applyBorder="1" applyAlignment="1" applyProtection="1">
      <alignment horizontal="center" vertical="center" wrapText="1"/>
    </xf>
    <xf numFmtId="3" fontId="40" fillId="7" borderId="4" xfId="0" applyNumberFormat="1" applyFont="1" applyFill="1" applyBorder="1" applyAlignment="1">
      <alignment horizontal="center" vertical="center" wrapText="1"/>
    </xf>
    <xf numFmtId="3" fontId="36" fillId="0" borderId="0" xfId="0" applyNumberFormat="1" applyFont="1" applyFill="1"/>
    <xf numFmtId="3" fontId="25" fillId="5" borderId="1" xfId="0" applyNumberFormat="1" applyFont="1" applyFill="1" applyBorder="1" applyAlignment="1">
      <alignment horizontal="center" vertical="center" wrapText="1"/>
    </xf>
    <xf numFmtId="49" fontId="2" fillId="5" borderId="13" xfId="1" applyNumberFormat="1" applyFont="1" applyFill="1" applyBorder="1" applyAlignment="1">
      <alignment horizontal="center" vertical="center" wrapText="1"/>
    </xf>
    <xf numFmtId="0" fontId="20" fillId="5" borderId="13" xfId="0" applyFont="1" applyFill="1" applyBorder="1" applyAlignment="1">
      <alignment horizontal="left" vertical="center" wrapText="1"/>
    </xf>
    <xf numFmtId="3" fontId="20" fillId="5" borderId="13" xfId="0" applyNumberFormat="1" applyFont="1" applyFill="1" applyBorder="1" applyAlignment="1">
      <alignment horizontal="center" vertical="center" wrapText="1"/>
    </xf>
    <xf numFmtId="3" fontId="34" fillId="5" borderId="13" xfId="0" applyNumberFormat="1" applyFont="1" applyFill="1" applyBorder="1" applyAlignment="1">
      <alignment horizontal="center" vertical="center"/>
    </xf>
    <xf numFmtId="0" fontId="25" fillId="5" borderId="4" xfId="0" applyFont="1" applyFill="1" applyBorder="1" applyAlignment="1">
      <alignment horizontal="left" vertical="center" wrapText="1"/>
    </xf>
    <xf numFmtId="3" fontId="25" fillId="5" borderId="4" xfId="0" applyNumberFormat="1" applyFont="1" applyFill="1" applyBorder="1" applyAlignment="1">
      <alignment horizontal="center" vertical="center"/>
    </xf>
    <xf numFmtId="3" fontId="2" fillId="5" borderId="0" xfId="0" applyNumberFormat="1" applyFont="1" applyFill="1" applyBorder="1" applyAlignment="1">
      <alignment horizontal="center" vertical="center" wrapText="1"/>
    </xf>
    <xf numFmtId="0" fontId="25" fillId="5" borderId="4" xfId="0" applyFont="1" applyFill="1" applyBorder="1" applyAlignment="1">
      <alignment horizontal="center" vertical="center"/>
    </xf>
    <xf numFmtId="3" fontId="25" fillId="5" borderId="4" xfId="0" applyNumberFormat="1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vertical="center" wrapText="1"/>
    </xf>
    <xf numFmtId="168" fontId="34" fillId="5" borderId="4" xfId="0" applyNumberFormat="1" applyFont="1" applyFill="1" applyBorder="1" applyAlignment="1">
      <alignment horizontal="center" vertical="center"/>
    </xf>
    <xf numFmtId="3" fontId="34" fillId="5" borderId="13" xfId="0" applyNumberFormat="1" applyFont="1" applyFill="1" applyBorder="1" applyAlignment="1">
      <alignment horizontal="center" vertical="center" wrapText="1"/>
    </xf>
    <xf numFmtId="49" fontId="2" fillId="5" borderId="1" xfId="0" applyNumberFormat="1" applyFont="1" applyFill="1" applyBorder="1" applyAlignment="1">
      <alignment horizontal="center" vertical="center"/>
    </xf>
    <xf numFmtId="0" fontId="2" fillId="5" borderId="1" xfId="0" applyFont="1" applyFill="1" applyBorder="1" applyAlignment="1">
      <alignment vertical="center" wrapText="1"/>
    </xf>
    <xf numFmtId="3" fontId="25" fillId="5" borderId="1" xfId="0" applyNumberFormat="1" applyFont="1" applyFill="1" applyBorder="1" applyAlignment="1">
      <alignment horizontal="center" vertical="center"/>
    </xf>
    <xf numFmtId="169" fontId="2" fillId="5" borderId="10" xfId="0" applyNumberFormat="1" applyFont="1" applyFill="1" applyBorder="1" applyAlignment="1" applyProtection="1">
      <alignment vertical="center" wrapText="1"/>
    </xf>
    <xf numFmtId="3" fontId="20" fillId="5" borderId="0" xfId="0" applyNumberFormat="1" applyFont="1" applyFill="1" applyBorder="1" applyAlignment="1" applyProtection="1">
      <alignment horizontal="center" vertical="center" wrapText="1"/>
    </xf>
    <xf numFmtId="168" fontId="2" fillId="5" borderId="0" xfId="0" applyNumberFormat="1" applyFont="1" applyFill="1" applyBorder="1" applyAlignment="1" applyProtection="1">
      <alignment horizontal="center" vertical="center" wrapText="1"/>
    </xf>
    <xf numFmtId="0" fontId="20" fillId="5" borderId="2" xfId="0" applyFont="1" applyFill="1" applyBorder="1" applyAlignment="1">
      <alignment horizontal="left" vertical="center" wrapText="1"/>
    </xf>
    <xf numFmtId="0" fontId="20" fillId="5" borderId="0" xfId="0" applyNumberFormat="1" applyFont="1" applyFill="1" applyBorder="1" applyAlignment="1" applyProtection="1">
      <alignment horizontal="center" vertical="center" wrapText="1"/>
    </xf>
    <xf numFmtId="49" fontId="20" fillId="5" borderId="2" xfId="0" applyNumberFormat="1" applyFont="1" applyFill="1" applyBorder="1" applyAlignment="1">
      <alignment horizontal="center" vertical="center" wrapText="1"/>
    </xf>
    <xf numFmtId="3" fontId="2" fillId="5" borderId="4" xfId="0" applyNumberFormat="1" applyFont="1" applyFill="1" applyBorder="1" applyAlignment="1">
      <alignment horizontal="center" vertical="center" wrapText="1"/>
    </xf>
    <xf numFmtId="3" fontId="2" fillId="5" borderId="4" xfId="0" applyNumberFormat="1" applyFont="1" applyFill="1" applyBorder="1" applyAlignment="1">
      <alignment horizontal="center" vertical="center"/>
    </xf>
    <xf numFmtId="3" fontId="2" fillId="5" borderId="2" xfId="0" applyNumberFormat="1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164" fontId="2" fillId="5" borderId="4" xfId="0" applyNumberFormat="1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left" vertical="center" wrapText="1"/>
    </xf>
    <xf numFmtId="0" fontId="2" fillId="5" borderId="2" xfId="0" applyFont="1" applyFill="1" applyBorder="1" applyAlignment="1">
      <alignment horizontal="left" vertical="center" wrapText="1"/>
    </xf>
    <xf numFmtId="3" fontId="2" fillId="5" borderId="4" xfId="0" applyNumberFormat="1" applyFont="1" applyFill="1" applyBorder="1" applyAlignment="1">
      <alignment horizontal="center" vertical="center" wrapText="1"/>
    </xf>
    <xf numFmtId="3" fontId="2" fillId="5" borderId="4" xfId="0" applyNumberFormat="1" applyFont="1" applyFill="1" applyBorder="1" applyAlignment="1">
      <alignment horizontal="center" vertical="center" wrapText="1"/>
    </xf>
    <xf numFmtId="169" fontId="2" fillId="5" borderId="0" xfId="0" applyNumberFormat="1" applyFont="1" applyFill="1" applyAlignment="1">
      <alignment vertical="center"/>
    </xf>
    <xf numFmtId="0" fontId="2" fillId="5" borderId="0" xfId="0" applyFont="1" applyFill="1" applyAlignment="1">
      <alignment horizontal="right" vertical="center"/>
    </xf>
    <xf numFmtId="3" fontId="2" fillId="5" borderId="2" xfId="0" applyNumberFormat="1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/>
    </xf>
    <xf numFmtId="0" fontId="13" fillId="0" borderId="0" xfId="0" applyFont="1" applyBorder="1" applyAlignment="1">
      <alignment horizontal="left" vertical="center" wrapText="1"/>
    </xf>
    <xf numFmtId="167" fontId="20" fillId="5" borderId="1" xfId="0" applyNumberFormat="1" applyFont="1" applyFill="1" applyBorder="1" applyAlignment="1">
      <alignment horizontal="center" vertical="center" wrapText="1"/>
    </xf>
    <xf numFmtId="167" fontId="20" fillId="5" borderId="2" xfId="0" applyNumberFormat="1" applyFont="1" applyFill="1" applyBorder="1" applyAlignment="1">
      <alignment horizontal="center" vertical="center" wrapText="1"/>
    </xf>
    <xf numFmtId="0" fontId="24" fillId="5" borderId="0" xfId="0" applyFont="1" applyFill="1" applyAlignment="1">
      <alignment horizontal="center" vertical="center" wrapText="1"/>
    </xf>
    <xf numFmtId="0" fontId="20" fillId="5" borderId="9" xfId="0" applyFont="1" applyFill="1" applyBorder="1" applyAlignment="1">
      <alignment horizontal="center" vertical="center" wrapText="1"/>
    </xf>
    <xf numFmtId="0" fontId="20" fillId="5" borderId="8" xfId="0" applyFont="1" applyFill="1" applyBorder="1" applyAlignment="1">
      <alignment horizontal="center" vertical="center" wrapText="1"/>
    </xf>
    <xf numFmtId="0" fontId="20" fillId="5" borderId="3" xfId="0" applyFont="1" applyFill="1" applyBorder="1" applyAlignment="1">
      <alignment horizontal="center" vertical="center" wrapText="1"/>
    </xf>
    <xf numFmtId="3" fontId="36" fillId="0" borderId="1" xfId="0" applyNumberFormat="1" applyFont="1" applyFill="1" applyBorder="1" applyAlignment="1">
      <alignment horizontal="center" vertical="center" wrapText="1"/>
    </xf>
    <xf numFmtId="3" fontId="36" fillId="0" borderId="6" xfId="0" applyNumberFormat="1" applyFont="1" applyFill="1" applyBorder="1" applyAlignment="1">
      <alignment horizontal="center" vertical="center" wrapText="1"/>
    </xf>
    <xf numFmtId="3" fontId="36" fillId="0" borderId="2" xfId="0" applyNumberFormat="1" applyFont="1" applyFill="1" applyBorder="1" applyAlignment="1">
      <alignment horizontal="center" vertical="center" wrapText="1"/>
    </xf>
    <xf numFmtId="0" fontId="36" fillId="0" borderId="4" xfId="0" applyFont="1" applyFill="1" applyBorder="1" applyAlignment="1">
      <alignment horizontal="center" vertical="center" wrapText="1"/>
    </xf>
    <xf numFmtId="0" fontId="40" fillId="5" borderId="0" xfId="0" applyNumberFormat="1" applyFont="1" applyFill="1" applyBorder="1" applyAlignment="1" applyProtection="1">
      <alignment horizontal="center" vertical="center" wrapText="1"/>
    </xf>
    <xf numFmtId="0" fontId="41" fillId="5" borderId="10" xfId="0" applyNumberFormat="1" applyFont="1" applyFill="1" applyBorder="1" applyAlignment="1" applyProtection="1">
      <alignment horizontal="right" vertical="center" wrapText="1"/>
    </xf>
    <xf numFmtId="3" fontId="36" fillId="0" borderId="4" xfId="0" applyNumberFormat="1" applyFont="1" applyFill="1" applyBorder="1" applyAlignment="1">
      <alignment horizontal="center" vertical="center" wrapText="1"/>
    </xf>
    <xf numFmtId="164" fontId="36" fillId="0" borderId="4" xfId="0" applyNumberFormat="1" applyFont="1" applyFill="1" applyBorder="1" applyAlignment="1">
      <alignment horizontal="center" vertical="center"/>
    </xf>
    <xf numFmtId="0" fontId="36" fillId="0" borderId="1" xfId="0" applyFont="1" applyFill="1" applyBorder="1" applyAlignment="1">
      <alignment horizontal="center" vertical="center" wrapText="1"/>
    </xf>
    <xf numFmtId="0" fontId="36" fillId="0" borderId="6" xfId="0" applyFont="1" applyFill="1" applyBorder="1" applyAlignment="1">
      <alignment horizontal="center" vertical="center" wrapText="1"/>
    </xf>
    <xf numFmtId="0" fontId="36" fillId="0" borderId="2" xfId="0" applyFont="1" applyFill="1" applyBorder="1" applyAlignment="1">
      <alignment horizontal="center" vertical="center" wrapText="1"/>
    </xf>
    <xf numFmtId="3" fontId="36" fillId="0" borderId="4" xfId="0" applyNumberFormat="1" applyFont="1" applyFill="1" applyBorder="1" applyAlignment="1">
      <alignment horizontal="center" vertical="center"/>
    </xf>
    <xf numFmtId="0" fontId="36" fillId="5" borderId="0" xfId="0" applyFont="1" applyFill="1" applyBorder="1" applyAlignment="1">
      <alignment horizontal="center" vertical="center" wrapText="1"/>
    </xf>
    <xf numFmtId="0" fontId="36" fillId="5" borderId="0" xfId="0" applyFont="1" applyFill="1" applyAlignment="1">
      <alignment horizontal="left"/>
    </xf>
    <xf numFmtId="0" fontId="36" fillId="0" borderId="6" xfId="0" applyFont="1" applyFill="1" applyBorder="1" applyAlignment="1">
      <alignment horizontal="center" vertical="center"/>
    </xf>
    <xf numFmtId="0" fontId="36" fillId="0" borderId="2" xfId="0" applyFont="1" applyFill="1" applyBorder="1" applyAlignment="1">
      <alignment horizontal="center" vertical="center"/>
    </xf>
    <xf numFmtId="0" fontId="2" fillId="5" borderId="0" xfId="0" applyFont="1" applyFill="1" applyBorder="1" applyAlignment="1">
      <alignment horizontal="center" vertical="center" wrapText="1"/>
    </xf>
    <xf numFmtId="0" fontId="2" fillId="5" borderId="0" xfId="0" applyFont="1" applyFill="1" applyAlignment="1">
      <alignment horizontal="left"/>
    </xf>
    <xf numFmtId="0" fontId="20" fillId="5" borderId="0" xfId="0" applyNumberFormat="1" applyFont="1" applyFill="1" applyBorder="1" applyAlignment="1" applyProtection="1">
      <alignment horizontal="center" vertical="center" wrapText="1"/>
    </xf>
    <xf numFmtId="0" fontId="2" fillId="5" borderId="10" xfId="0" applyNumberFormat="1" applyFont="1" applyFill="1" applyBorder="1" applyAlignment="1" applyProtection="1">
      <alignment horizontal="center" vertical="center" wrapText="1"/>
    </xf>
    <xf numFmtId="49" fontId="20" fillId="5" borderId="1" xfId="0" applyNumberFormat="1" applyFont="1" applyFill="1" applyBorder="1" applyAlignment="1">
      <alignment horizontal="center" vertical="center" wrapText="1"/>
    </xf>
    <xf numFmtId="49" fontId="20" fillId="5" borderId="2" xfId="0" applyNumberFormat="1" applyFont="1" applyFill="1" applyBorder="1" applyAlignment="1">
      <alignment horizontal="center" vertical="center" wrapText="1"/>
    </xf>
    <xf numFmtId="0" fontId="20" fillId="5" borderId="1" xfId="0" applyFont="1" applyFill="1" applyBorder="1" applyAlignment="1">
      <alignment horizontal="center" vertical="center" wrapText="1"/>
    </xf>
    <xf numFmtId="0" fontId="20" fillId="5" borderId="2" xfId="0" applyFont="1" applyFill="1" applyBorder="1" applyAlignment="1">
      <alignment horizontal="center" vertical="center" wrapText="1"/>
    </xf>
    <xf numFmtId="0" fontId="20" fillId="5" borderId="4" xfId="0" applyFont="1" applyFill="1" applyBorder="1" applyAlignment="1">
      <alignment horizontal="center" vertical="center" wrapText="1"/>
    </xf>
    <xf numFmtId="0" fontId="46" fillId="5" borderId="4" xfId="0" applyFont="1" applyFill="1" applyBorder="1" applyAlignment="1">
      <alignment horizontal="center" vertical="center" wrapText="1"/>
    </xf>
    <xf numFmtId="0" fontId="19" fillId="5" borderId="0" xfId="0" applyFont="1" applyFill="1" applyBorder="1" applyAlignment="1">
      <alignment horizontal="center" vertical="center" wrapText="1"/>
    </xf>
    <xf numFmtId="0" fontId="32" fillId="5" borderId="0" xfId="0" applyFont="1" applyFill="1" applyAlignment="1">
      <alignment horizontal="left"/>
    </xf>
    <xf numFmtId="0" fontId="2" fillId="5" borderId="4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3" fontId="2" fillId="5" borderId="1" xfId="0" applyNumberFormat="1" applyFont="1" applyFill="1" applyBorder="1" applyAlignment="1">
      <alignment horizontal="center" vertical="center" wrapText="1"/>
    </xf>
    <xf numFmtId="3" fontId="2" fillId="5" borderId="6" xfId="0" applyNumberFormat="1" applyFont="1" applyFill="1" applyBorder="1" applyAlignment="1">
      <alignment horizontal="center" vertical="center" wrapText="1"/>
    </xf>
    <xf numFmtId="3" fontId="2" fillId="5" borderId="2" xfId="0" applyNumberFormat="1" applyFont="1" applyFill="1" applyBorder="1" applyAlignment="1">
      <alignment horizontal="center" vertical="center" wrapText="1"/>
    </xf>
    <xf numFmtId="0" fontId="1" fillId="5" borderId="0" xfId="0" applyNumberFormat="1" applyFont="1" applyFill="1" applyBorder="1" applyAlignment="1" applyProtection="1">
      <alignment horizontal="center" vertical="center" wrapText="1"/>
    </xf>
    <xf numFmtId="164" fontId="2" fillId="5" borderId="4" xfId="0" applyNumberFormat="1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3" fontId="2" fillId="5" borderId="4" xfId="0" applyNumberFormat="1" applyFont="1" applyFill="1" applyBorder="1" applyAlignment="1">
      <alignment horizontal="center" vertical="center" wrapText="1"/>
    </xf>
    <xf numFmtId="0" fontId="37" fillId="5" borderId="10" xfId="0" applyNumberFormat="1" applyFont="1" applyFill="1" applyBorder="1" applyAlignment="1" applyProtection="1">
      <alignment horizontal="right" vertical="center" wrapText="1"/>
    </xf>
    <xf numFmtId="3" fontId="2" fillId="5" borderId="4" xfId="0" applyNumberFormat="1" applyFont="1" applyFill="1" applyBorder="1" applyAlignment="1">
      <alignment horizontal="center" vertical="center"/>
    </xf>
    <xf numFmtId="0" fontId="20" fillId="5" borderId="0" xfId="0" applyFont="1" applyFill="1" applyAlignment="1">
      <alignment horizontal="center"/>
    </xf>
    <xf numFmtId="0" fontId="2" fillId="5" borderId="1" xfId="0" applyFont="1" applyFill="1" applyBorder="1" applyAlignment="1">
      <alignment horizontal="left" vertical="center" wrapText="1"/>
    </xf>
    <xf numFmtId="0" fontId="2" fillId="5" borderId="6" xfId="0" applyFont="1" applyFill="1" applyBorder="1" applyAlignment="1">
      <alignment horizontal="left" vertical="center" wrapText="1"/>
    </xf>
    <xf numFmtId="0" fontId="2" fillId="5" borderId="2" xfId="0" applyFont="1" applyFill="1" applyBorder="1" applyAlignment="1">
      <alignment horizontal="left" vertical="center" wrapText="1"/>
    </xf>
    <xf numFmtId="0" fontId="2" fillId="5" borderId="1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1" fillId="6" borderId="0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1" fillId="0" borderId="0" xfId="0" applyNumberFormat="1" applyFont="1" applyFill="1" applyBorder="1" applyAlignment="1" applyProtection="1">
      <alignment horizontal="center" vertical="top"/>
    </xf>
    <xf numFmtId="0" fontId="16" fillId="0" borderId="0" xfId="0" applyFont="1" applyFill="1" applyAlignment="1">
      <alignment horizontal="center"/>
    </xf>
    <xf numFmtId="0" fontId="20" fillId="2" borderId="0" xfId="0" applyFont="1" applyFill="1" applyBorder="1" applyAlignment="1">
      <alignment horizontal="right" vertical="center" wrapText="1"/>
    </xf>
    <xf numFmtId="0" fontId="20" fillId="0" borderId="4" xfId="0" applyFont="1" applyFill="1" applyBorder="1" applyAlignment="1">
      <alignment horizontal="left" vertical="center" wrapText="1"/>
    </xf>
    <xf numFmtId="0" fontId="20" fillId="0" borderId="12" xfId="0" applyFont="1" applyFill="1" applyBorder="1" applyAlignment="1">
      <alignment horizontal="left" vertical="center" wrapText="1"/>
    </xf>
    <xf numFmtId="0" fontId="20" fillId="0" borderId="0" xfId="0" applyFont="1" applyFill="1" applyBorder="1" applyAlignment="1">
      <alignment horizontal="left" vertical="center" wrapText="1"/>
    </xf>
    <xf numFmtId="0" fontId="20" fillId="0" borderId="5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 applyProtection="1">
      <alignment horizontal="center" vertical="center"/>
    </xf>
    <xf numFmtId="0" fontId="1" fillId="0" borderId="4" xfId="0" applyNumberFormat="1" applyFont="1" applyFill="1" applyBorder="1" applyAlignment="1" applyProtection="1">
      <alignment horizontal="center" vertical="center" wrapText="1"/>
    </xf>
    <xf numFmtId="0" fontId="1" fillId="0" borderId="4" xfId="0" applyNumberFormat="1" applyFont="1" applyFill="1" applyBorder="1" applyAlignment="1" applyProtection="1">
      <alignment horizontal="center" vertical="center"/>
    </xf>
    <xf numFmtId="3" fontId="1" fillId="0" borderId="4" xfId="0" applyNumberFormat="1" applyFont="1" applyFill="1" applyBorder="1" applyAlignment="1" applyProtection="1">
      <alignment horizontal="center" vertical="center" wrapText="1"/>
    </xf>
    <xf numFmtId="3" fontId="3" fillId="0" borderId="10" xfId="0" applyNumberFormat="1" applyFont="1" applyFill="1" applyBorder="1" applyAlignment="1" applyProtection="1">
      <alignment horizontal="center" vertical="center"/>
    </xf>
    <xf numFmtId="0" fontId="16" fillId="0" borderId="4" xfId="0" applyFont="1" applyBorder="1" applyAlignment="1">
      <alignment horizontal="center" wrapText="1"/>
    </xf>
    <xf numFmtId="0" fontId="16" fillId="0" borderId="1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/>
    </xf>
    <xf numFmtId="0" fontId="16" fillId="0" borderId="0" xfId="0" applyFont="1" applyBorder="1" applyAlignment="1">
      <alignment horizontal="center"/>
    </xf>
  </cellXfs>
  <cellStyles count="8">
    <cellStyle name="Excel Built-in Normal" xfId="7"/>
    <cellStyle name="Денежный" xfId="3" builtinId="4"/>
    <cellStyle name="Обычный" xfId="0" builtinId="0"/>
    <cellStyle name="Обычный 2" xfId="4"/>
    <cellStyle name="Обычный 3" xfId="5"/>
    <cellStyle name="Обычный_Лист1_1" xfId="1"/>
    <cellStyle name="Обычный_План ГЗ" xfId="2"/>
    <cellStyle name="Финансовый 2" xfId="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0;&#1086;&#1087;&#1080;&#1103;%20&#1089;&#1074;&#1086;&#1076;%20&#1087;&#1086;%20&#1082;&#1086;&#1088;&#1088;-&#1082;&#1077;%202013-2015%20&#1075;&#1075;.(&#1089;%20&#1082;&#1086;&#1088;&#1088;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Сравн таблица по транспорту"/>
      <sheetName val="Транспорт"/>
      <sheetName val="Корр-ка (сводная)"/>
      <sheetName val="2015 (2)"/>
      <sheetName val="2014  (2)"/>
      <sheetName val="2013(2)"/>
      <sheetName val="2014 "/>
      <sheetName val="2015"/>
      <sheetName val="свод"/>
      <sheetName val="свод 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14">
          <cell r="H14">
            <v>294490.54400000005</v>
          </cell>
        </row>
        <row r="85">
          <cell r="H85">
            <v>83747.460000000006</v>
          </cell>
        </row>
        <row r="86">
          <cell r="H86">
            <v>1741</v>
          </cell>
        </row>
      </sheetData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3:B23"/>
  <sheetViews>
    <sheetView workbookViewId="0">
      <selection activeCell="E22" sqref="E22"/>
    </sheetView>
  </sheetViews>
  <sheetFormatPr defaultColWidth="9.109375" defaultRowHeight="15.6"/>
  <cols>
    <col min="1" max="1" width="36.44140625" style="39" customWidth="1"/>
    <col min="2" max="2" width="39.109375" style="39" customWidth="1"/>
    <col min="3" max="16384" width="9.109375" style="39"/>
  </cols>
  <sheetData>
    <row r="3" spans="1:2">
      <c r="A3" s="308" t="s">
        <v>601</v>
      </c>
      <c r="B3" s="308"/>
    </row>
    <row r="4" spans="1:2">
      <c r="A4" s="564" t="s">
        <v>602</v>
      </c>
      <c r="B4" s="564"/>
    </row>
    <row r="5" spans="1:2">
      <c r="A5" s="40"/>
      <c r="B5" s="40"/>
    </row>
    <row r="6" spans="1:2">
      <c r="A6" s="565" t="s">
        <v>604</v>
      </c>
      <c r="B6" s="565"/>
    </row>
    <row r="7" spans="1:2">
      <c r="A7" s="565"/>
      <c r="B7" s="565"/>
    </row>
    <row r="8" spans="1:2">
      <c r="B8" s="309" t="s">
        <v>270</v>
      </c>
    </row>
    <row r="9" spans="1:2" ht="36.75" customHeight="1">
      <c r="A9" s="310" t="s">
        <v>598</v>
      </c>
      <c r="B9" s="86">
        <f>(62734616+53503285)/1.12/1000</f>
        <v>103783.84017857142</v>
      </c>
    </row>
    <row r="10" spans="1:2" ht="20.25" customHeight="1">
      <c r="A10" s="310" t="s">
        <v>599</v>
      </c>
      <c r="B10" s="86">
        <f>(15000000+15000000)/1.12/1000</f>
        <v>26785.714285714283</v>
      </c>
    </row>
    <row r="11" spans="1:2">
      <c r="A11" s="310" t="s">
        <v>600</v>
      </c>
      <c r="B11" s="86">
        <f>(8180000)/1000</f>
        <v>8180</v>
      </c>
    </row>
    <row r="12" spans="1:2">
      <c r="A12" s="188" t="s">
        <v>593</v>
      </c>
      <c r="B12" s="311">
        <f>SUM(B9:B11)</f>
        <v>138749.5544642857</v>
      </c>
    </row>
    <row r="13" spans="1:2">
      <c r="A13" s="312"/>
      <c r="B13" s="313"/>
    </row>
    <row r="14" spans="1:2">
      <c r="A14" s="312"/>
      <c r="B14" s="312"/>
    </row>
    <row r="15" spans="1:2">
      <c r="A15" s="565" t="s">
        <v>603</v>
      </c>
      <c r="B15" s="565"/>
    </row>
    <row r="16" spans="1:2">
      <c r="A16" s="565"/>
      <c r="B16" s="565"/>
    </row>
    <row r="17" spans="1:2">
      <c r="A17" s="314"/>
      <c r="B17" s="314"/>
    </row>
    <row r="18" spans="1:2">
      <c r="A18" s="312"/>
      <c r="B18" s="309" t="s">
        <v>270</v>
      </c>
    </row>
    <row r="19" spans="1:2" ht="38.25" customHeight="1">
      <c r="A19" s="310" t="s">
        <v>605</v>
      </c>
      <c r="B19" s="86">
        <f>B9/400*519</f>
        <v>134659.53263169643</v>
      </c>
    </row>
    <row r="20" spans="1:2">
      <c r="A20" s="310" t="s">
        <v>599</v>
      </c>
      <c r="B20" s="86">
        <f>B10/400*519</f>
        <v>34754.464285714283</v>
      </c>
    </row>
    <row r="21" spans="1:2">
      <c r="A21" s="188" t="s">
        <v>593</v>
      </c>
      <c r="B21" s="311">
        <f>SUM(B18:B20)</f>
        <v>169413.99691741072</v>
      </c>
    </row>
    <row r="23" spans="1:2">
      <c r="A23" s="188" t="s">
        <v>606</v>
      </c>
      <c r="B23" s="311">
        <f>B12+B21</f>
        <v>308163.55138169642</v>
      </c>
    </row>
  </sheetData>
  <mergeCells count="3">
    <mergeCell ref="A4:B4"/>
    <mergeCell ref="A15:B16"/>
    <mergeCell ref="A6:B7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92D050"/>
  </sheetPr>
  <dimension ref="A1:N169"/>
  <sheetViews>
    <sheetView workbookViewId="0">
      <pane xSplit="2" ySplit="5" topLeftCell="C57" activePane="bottomRight" state="frozen"/>
      <selection pane="topRight" activeCell="C1" sqref="C1"/>
      <selection pane="bottomLeft" activeCell="A6" sqref="A6"/>
      <selection pane="bottomRight" activeCell="G70" sqref="G70"/>
    </sheetView>
  </sheetViews>
  <sheetFormatPr defaultColWidth="9.109375" defaultRowHeight="13.2"/>
  <cols>
    <col min="1" max="1" width="7.5546875" style="225" customWidth="1"/>
    <col min="2" max="2" width="44.109375" style="294" customWidth="1"/>
    <col min="3" max="3" width="8.6640625" style="245" customWidth="1"/>
    <col min="4" max="4" width="8.5546875" style="296" customWidth="1"/>
    <col min="5" max="5" width="11.5546875" style="230" customWidth="1"/>
    <col min="6" max="6" width="8.5546875" style="230" customWidth="1"/>
    <col min="7" max="7" width="8.88671875" style="230" customWidth="1"/>
    <col min="8" max="8" width="9.109375" style="230" customWidth="1"/>
    <col min="9" max="9" width="10.33203125" style="230" customWidth="1"/>
    <col min="10" max="10" width="9.33203125" style="230" customWidth="1"/>
    <col min="11" max="11" width="7.6640625" style="230" customWidth="1"/>
    <col min="12" max="12" width="13.44140625" style="230" customWidth="1"/>
    <col min="13" max="13" width="12.5546875" style="230" customWidth="1"/>
    <col min="14" max="14" width="11.44140625" style="230" customWidth="1"/>
    <col min="15" max="16384" width="9.109375" style="230"/>
  </cols>
  <sheetData>
    <row r="1" spans="1:14" ht="17.399999999999999">
      <c r="B1" s="226"/>
      <c r="C1" s="227"/>
      <c r="D1" s="228"/>
      <c r="E1" s="229"/>
      <c r="F1" s="229"/>
      <c r="G1" s="229"/>
      <c r="H1" s="229"/>
      <c r="I1" s="229"/>
      <c r="J1" s="229"/>
    </row>
    <row r="2" spans="1:14" ht="17.399999999999999">
      <c r="B2" s="568" t="s">
        <v>503</v>
      </c>
      <c r="C2" s="568"/>
      <c r="D2" s="568"/>
      <c r="E2" s="568"/>
      <c r="F2" s="568"/>
      <c r="G2" s="568"/>
      <c r="H2" s="568"/>
      <c r="I2" s="568"/>
      <c r="J2" s="568"/>
    </row>
    <row r="3" spans="1:14" s="231" customFormat="1" ht="12.75" customHeight="1">
      <c r="A3" s="232"/>
      <c r="B3" s="233" t="s">
        <v>556</v>
      </c>
      <c r="C3" s="234"/>
      <c r="D3" s="235"/>
      <c r="E3" s="235"/>
      <c r="J3" s="236" t="s">
        <v>504</v>
      </c>
    </row>
    <row r="4" spans="1:14" s="231" customFormat="1" ht="35.25" customHeight="1">
      <c r="A4" s="237" t="s">
        <v>25</v>
      </c>
      <c r="B4" s="238" t="s">
        <v>84</v>
      </c>
      <c r="C4" s="569" t="s">
        <v>505</v>
      </c>
      <c r="D4" s="570"/>
      <c r="E4" s="571"/>
      <c r="F4" s="569" t="s">
        <v>506</v>
      </c>
      <c r="G4" s="570"/>
      <c r="H4" s="571"/>
      <c r="I4" s="569" t="s">
        <v>507</v>
      </c>
      <c r="J4" s="570"/>
      <c r="K4" s="571"/>
      <c r="L4" s="566" t="s">
        <v>508</v>
      </c>
      <c r="M4" s="566" t="s">
        <v>509</v>
      </c>
      <c r="N4" s="566" t="s">
        <v>510</v>
      </c>
    </row>
    <row r="5" spans="1:14" s="241" customFormat="1" ht="32.25" customHeight="1">
      <c r="A5" s="237"/>
      <c r="B5" s="238"/>
      <c r="C5" s="238" t="s">
        <v>511</v>
      </c>
      <c r="D5" s="239" t="s">
        <v>512</v>
      </c>
      <c r="E5" s="239" t="s">
        <v>513</v>
      </c>
      <c r="F5" s="238" t="s">
        <v>511</v>
      </c>
      <c r="G5" s="239" t="s">
        <v>512</v>
      </c>
      <c r="H5" s="239" t="s">
        <v>513</v>
      </c>
      <c r="I5" s="238" t="s">
        <v>511</v>
      </c>
      <c r="J5" s="239" t="s">
        <v>512</v>
      </c>
      <c r="K5" s="240" t="s">
        <v>513</v>
      </c>
      <c r="L5" s="567"/>
      <c r="M5" s="567"/>
      <c r="N5" s="567"/>
    </row>
    <row r="6" spans="1:14" s="245" customFormat="1">
      <c r="A6" s="216">
        <v>1</v>
      </c>
      <c r="B6" s="218">
        <v>2</v>
      </c>
      <c r="C6" s="218">
        <v>4</v>
      </c>
      <c r="D6" s="242">
        <v>5</v>
      </c>
      <c r="E6" s="242">
        <v>6</v>
      </c>
      <c r="F6" s="243">
        <v>7</v>
      </c>
      <c r="G6" s="244">
        <v>8</v>
      </c>
      <c r="H6" s="244">
        <v>9</v>
      </c>
      <c r="I6" s="244">
        <v>10</v>
      </c>
      <c r="J6" s="244">
        <v>11</v>
      </c>
      <c r="K6" s="244">
        <v>12</v>
      </c>
      <c r="L6" s="244">
        <v>13</v>
      </c>
      <c r="M6" s="244">
        <v>14</v>
      </c>
      <c r="N6" s="244">
        <v>15</v>
      </c>
    </row>
    <row r="7" spans="1:14" s="248" customFormat="1" ht="21" customHeight="1">
      <c r="A7" s="246" t="s">
        <v>514</v>
      </c>
      <c r="B7" s="247" t="s">
        <v>515</v>
      </c>
      <c r="C7" s="202">
        <f>C8+C10+C12+C14</f>
        <v>356923</v>
      </c>
      <c r="D7" s="202" t="e">
        <f>#REF!</f>
        <v>#REF!</v>
      </c>
      <c r="E7" s="202" t="e">
        <f>D7-C7</f>
        <v>#REF!</v>
      </c>
      <c r="F7" s="202">
        <v>504972</v>
      </c>
      <c r="G7" s="202" t="e">
        <f>#REF!</f>
        <v>#REF!</v>
      </c>
      <c r="H7" s="202" t="e">
        <f>G7-F7</f>
        <v>#REF!</v>
      </c>
      <c r="I7" s="202">
        <v>574047</v>
      </c>
      <c r="J7" s="202" t="e">
        <f>#REF!</f>
        <v>#REF!</v>
      </c>
      <c r="K7" s="202" t="e">
        <f>J7-I7</f>
        <v>#REF!</v>
      </c>
      <c r="L7" s="243">
        <f>C7+F7+I7</f>
        <v>1435942</v>
      </c>
      <c r="M7" s="243" t="e">
        <f>D7+G7+J7</f>
        <v>#REF!</v>
      </c>
      <c r="N7" s="243" t="e">
        <f>M7-L7</f>
        <v>#REF!</v>
      </c>
    </row>
    <row r="8" spans="1:14" s="248" customFormat="1" ht="12.75" hidden="1" customHeight="1">
      <c r="A8" s="249" t="s">
        <v>3</v>
      </c>
      <c r="B8" s="250" t="s">
        <v>516</v>
      </c>
      <c r="C8" s="251">
        <v>15715</v>
      </c>
      <c r="D8" s="252">
        <v>15709</v>
      </c>
      <c r="E8" s="252">
        <f>D8-C8</f>
        <v>-6</v>
      </c>
      <c r="F8" s="253"/>
      <c r="G8" s="253"/>
      <c r="H8" s="202">
        <f t="shared" ref="H8:H16" si="0">G8-F8</f>
        <v>0</v>
      </c>
      <c r="I8" s="253"/>
      <c r="J8" s="253"/>
      <c r="K8" s="202">
        <f t="shared" ref="K8:K71" si="1">J8-I8</f>
        <v>0</v>
      </c>
      <c r="L8" s="243">
        <f t="shared" ref="L8:M39" si="2">C8+F8+I8</f>
        <v>15715</v>
      </c>
      <c r="M8" s="243">
        <f t="shared" si="2"/>
        <v>15709</v>
      </c>
      <c r="N8" s="243">
        <f t="shared" ref="N8:N71" si="3">M8-L8</f>
        <v>-6</v>
      </c>
    </row>
    <row r="9" spans="1:14" s="248" customFormat="1" ht="25.5" hidden="1" customHeight="1">
      <c r="A9" s="254"/>
      <c r="B9" s="255"/>
      <c r="C9" s="256"/>
      <c r="D9" s="257"/>
      <c r="E9" s="257"/>
      <c r="F9" s="253"/>
      <c r="G9" s="253"/>
      <c r="H9" s="202">
        <f t="shared" si="0"/>
        <v>0</v>
      </c>
      <c r="I9" s="253"/>
      <c r="J9" s="253"/>
      <c r="K9" s="202">
        <f t="shared" si="1"/>
        <v>0</v>
      </c>
      <c r="L9" s="243">
        <f t="shared" si="2"/>
        <v>0</v>
      </c>
      <c r="M9" s="243">
        <f t="shared" si="2"/>
        <v>0</v>
      </c>
      <c r="N9" s="243">
        <f t="shared" si="3"/>
        <v>0</v>
      </c>
    </row>
    <row r="10" spans="1:14" s="248" customFormat="1" ht="12.75" hidden="1" customHeight="1">
      <c r="A10" s="249" t="s">
        <v>4</v>
      </c>
      <c r="B10" s="250" t="s">
        <v>517</v>
      </c>
      <c r="C10" s="251">
        <v>207495</v>
      </c>
      <c r="D10" s="252">
        <v>167325</v>
      </c>
      <c r="E10" s="252">
        <f>D10-C10</f>
        <v>-40170</v>
      </c>
      <c r="F10" s="253"/>
      <c r="G10" s="253"/>
      <c r="H10" s="202">
        <f t="shared" si="0"/>
        <v>0</v>
      </c>
      <c r="I10" s="253"/>
      <c r="J10" s="253"/>
      <c r="K10" s="202">
        <f t="shared" si="1"/>
        <v>0</v>
      </c>
      <c r="L10" s="243">
        <f t="shared" si="2"/>
        <v>207495</v>
      </c>
      <c r="M10" s="243">
        <f t="shared" si="2"/>
        <v>167325</v>
      </c>
      <c r="N10" s="243">
        <f t="shared" si="3"/>
        <v>-40170</v>
      </c>
    </row>
    <row r="11" spans="1:14" s="248" customFormat="1" ht="25.5" hidden="1" customHeight="1">
      <c r="A11" s="254"/>
      <c r="B11" s="255"/>
      <c r="C11" s="256"/>
      <c r="D11" s="257"/>
      <c r="E11" s="257"/>
      <c r="F11" s="253"/>
      <c r="G11" s="253"/>
      <c r="H11" s="202">
        <f t="shared" si="0"/>
        <v>0</v>
      </c>
      <c r="I11" s="253"/>
      <c r="J11" s="253"/>
      <c r="K11" s="202">
        <f t="shared" si="1"/>
        <v>0</v>
      </c>
      <c r="L11" s="243">
        <f t="shared" si="2"/>
        <v>0</v>
      </c>
      <c r="M11" s="243">
        <f t="shared" si="2"/>
        <v>0</v>
      </c>
      <c r="N11" s="243">
        <f t="shared" si="3"/>
        <v>0</v>
      </c>
    </row>
    <row r="12" spans="1:14" s="248" customFormat="1" ht="12.75" hidden="1" customHeight="1">
      <c r="A12" s="249" t="s">
        <v>5</v>
      </c>
      <c r="B12" s="250" t="s">
        <v>518</v>
      </c>
      <c r="C12" s="251">
        <v>113429</v>
      </c>
      <c r="D12" s="252">
        <v>93472</v>
      </c>
      <c r="E12" s="252">
        <f>D12-C12</f>
        <v>-19957</v>
      </c>
      <c r="F12" s="253"/>
      <c r="G12" s="253"/>
      <c r="H12" s="202">
        <f t="shared" si="0"/>
        <v>0</v>
      </c>
      <c r="I12" s="253"/>
      <c r="J12" s="253"/>
      <c r="K12" s="202">
        <f t="shared" si="1"/>
        <v>0</v>
      </c>
      <c r="L12" s="243">
        <f t="shared" si="2"/>
        <v>113429</v>
      </c>
      <c r="M12" s="243">
        <f t="shared" si="2"/>
        <v>93472</v>
      </c>
      <c r="N12" s="243">
        <f t="shared" si="3"/>
        <v>-19957</v>
      </c>
    </row>
    <row r="13" spans="1:14" s="248" customFormat="1" ht="25.5" hidden="1" customHeight="1">
      <c r="A13" s="254"/>
      <c r="B13" s="255"/>
      <c r="C13" s="256"/>
      <c r="D13" s="257"/>
      <c r="E13" s="257"/>
      <c r="F13" s="253"/>
      <c r="G13" s="253"/>
      <c r="H13" s="202">
        <f t="shared" si="0"/>
        <v>0</v>
      </c>
      <c r="I13" s="253"/>
      <c r="J13" s="253"/>
      <c r="K13" s="202">
        <f t="shared" si="1"/>
        <v>0</v>
      </c>
      <c r="L13" s="243">
        <f t="shared" si="2"/>
        <v>0</v>
      </c>
      <c r="M13" s="243">
        <f t="shared" si="2"/>
        <v>0</v>
      </c>
      <c r="N13" s="243">
        <f t="shared" si="3"/>
        <v>0</v>
      </c>
    </row>
    <row r="14" spans="1:14" s="248" customFormat="1" ht="12.75" hidden="1" customHeight="1">
      <c r="A14" s="249" t="s">
        <v>6</v>
      </c>
      <c r="B14" s="250" t="s">
        <v>519</v>
      </c>
      <c r="C14" s="251">
        <v>20284</v>
      </c>
      <c r="D14" s="252">
        <v>17984</v>
      </c>
      <c r="E14" s="252">
        <f>D14-C14</f>
        <v>-2300</v>
      </c>
      <c r="F14" s="253"/>
      <c r="G14" s="253"/>
      <c r="H14" s="202">
        <f t="shared" si="0"/>
        <v>0</v>
      </c>
      <c r="I14" s="253"/>
      <c r="J14" s="253"/>
      <c r="K14" s="202">
        <f t="shared" si="1"/>
        <v>0</v>
      </c>
      <c r="L14" s="243">
        <f t="shared" si="2"/>
        <v>20284</v>
      </c>
      <c r="M14" s="243">
        <f t="shared" si="2"/>
        <v>17984</v>
      </c>
      <c r="N14" s="243">
        <f t="shared" si="3"/>
        <v>-2300</v>
      </c>
    </row>
    <row r="15" spans="1:14" s="248" customFormat="1" ht="25.5" hidden="1" customHeight="1">
      <c r="A15" s="254"/>
      <c r="B15" s="255"/>
      <c r="C15" s="256"/>
      <c r="D15" s="257"/>
      <c r="E15" s="257"/>
      <c r="F15" s="253"/>
      <c r="G15" s="253"/>
      <c r="H15" s="202">
        <f t="shared" si="0"/>
        <v>0</v>
      </c>
      <c r="I15" s="253"/>
      <c r="J15" s="253"/>
      <c r="K15" s="202">
        <f t="shared" si="1"/>
        <v>0</v>
      </c>
      <c r="L15" s="243">
        <f t="shared" si="2"/>
        <v>0</v>
      </c>
      <c r="M15" s="243">
        <f t="shared" si="2"/>
        <v>0</v>
      </c>
      <c r="N15" s="243">
        <f t="shared" si="3"/>
        <v>0</v>
      </c>
    </row>
    <row r="16" spans="1:14" s="248" customFormat="1" ht="29.25" customHeight="1">
      <c r="A16" s="246" t="s">
        <v>520</v>
      </c>
      <c r="B16" s="258" t="s">
        <v>521</v>
      </c>
      <c r="C16" s="202">
        <f>SUM(C17:C49)</f>
        <v>446553</v>
      </c>
      <c r="D16" s="203" t="e">
        <f>#REF!</f>
        <v>#REF!</v>
      </c>
      <c r="E16" s="203" t="e">
        <f t="shared" ref="E16:E54" si="4">D16-C16</f>
        <v>#REF!</v>
      </c>
      <c r="F16" s="202">
        <v>450120</v>
      </c>
      <c r="G16" s="202" t="e">
        <f>#REF!</f>
        <v>#REF!</v>
      </c>
      <c r="H16" s="202" t="e">
        <f t="shared" si="0"/>
        <v>#REF!</v>
      </c>
      <c r="I16" s="202">
        <v>450313</v>
      </c>
      <c r="J16" s="202" t="e">
        <f>#REF!</f>
        <v>#REF!</v>
      </c>
      <c r="K16" s="202" t="e">
        <f t="shared" si="1"/>
        <v>#REF!</v>
      </c>
      <c r="L16" s="243">
        <f t="shared" si="2"/>
        <v>1346986</v>
      </c>
      <c r="M16" s="243" t="e">
        <f t="shared" si="2"/>
        <v>#REF!</v>
      </c>
      <c r="N16" s="243" t="e">
        <f t="shared" si="3"/>
        <v>#REF!</v>
      </c>
    </row>
    <row r="17" spans="1:14" s="248" customFormat="1" ht="38.25" hidden="1" customHeight="1">
      <c r="A17" s="246" t="s">
        <v>520</v>
      </c>
      <c r="B17" s="259" t="s">
        <v>522</v>
      </c>
      <c r="C17" s="202">
        <v>4906.5</v>
      </c>
      <c r="D17" s="203" t="e">
        <f>#REF!</f>
        <v>#REF!</v>
      </c>
      <c r="E17" s="203" t="e">
        <f t="shared" si="4"/>
        <v>#REF!</v>
      </c>
      <c r="F17" s="253"/>
      <c r="G17" s="253"/>
      <c r="H17" s="253"/>
      <c r="I17" s="253"/>
      <c r="J17" s="253"/>
      <c r="K17" s="202">
        <f t="shared" si="1"/>
        <v>0</v>
      </c>
      <c r="L17" s="243">
        <f t="shared" si="2"/>
        <v>4906.5</v>
      </c>
      <c r="M17" s="243" t="e">
        <f t="shared" si="2"/>
        <v>#REF!</v>
      </c>
      <c r="N17" s="243" t="e">
        <f t="shared" si="3"/>
        <v>#REF!</v>
      </c>
    </row>
    <row r="18" spans="1:14" s="248" customFormat="1" ht="25.5" hidden="1" customHeight="1">
      <c r="A18" s="246" t="s">
        <v>520</v>
      </c>
      <c r="B18" s="259" t="s">
        <v>523</v>
      </c>
      <c r="C18" s="202">
        <v>4452.5</v>
      </c>
      <c r="D18" s="203" t="e">
        <f>#REF!</f>
        <v>#REF!</v>
      </c>
      <c r="E18" s="203" t="e">
        <f t="shared" si="4"/>
        <v>#REF!</v>
      </c>
      <c r="F18" s="253"/>
      <c r="G18" s="253"/>
      <c r="H18" s="253"/>
      <c r="I18" s="253"/>
      <c r="J18" s="253"/>
      <c r="K18" s="202">
        <f t="shared" si="1"/>
        <v>0</v>
      </c>
      <c r="L18" s="243">
        <f t="shared" si="2"/>
        <v>4452.5</v>
      </c>
      <c r="M18" s="243" t="e">
        <f t="shared" si="2"/>
        <v>#REF!</v>
      </c>
      <c r="N18" s="243" t="e">
        <f t="shared" si="3"/>
        <v>#REF!</v>
      </c>
    </row>
    <row r="19" spans="1:14" s="248" customFormat="1" ht="25.5" hidden="1" customHeight="1">
      <c r="A19" s="246" t="s">
        <v>520</v>
      </c>
      <c r="B19" s="260" t="s">
        <v>524</v>
      </c>
      <c r="C19" s="202">
        <v>881</v>
      </c>
      <c r="D19" s="242"/>
      <c r="E19" s="203">
        <f t="shared" si="4"/>
        <v>-881</v>
      </c>
      <c r="F19" s="253"/>
      <c r="G19" s="253"/>
      <c r="H19" s="253"/>
      <c r="I19" s="253"/>
      <c r="J19" s="253"/>
      <c r="K19" s="202">
        <f t="shared" si="1"/>
        <v>0</v>
      </c>
      <c r="L19" s="243">
        <f t="shared" si="2"/>
        <v>881</v>
      </c>
      <c r="M19" s="243">
        <f t="shared" si="2"/>
        <v>0</v>
      </c>
      <c r="N19" s="243">
        <f t="shared" si="3"/>
        <v>-881</v>
      </c>
    </row>
    <row r="20" spans="1:14" s="248" customFormat="1" ht="25.5" hidden="1" customHeight="1">
      <c r="A20" s="246" t="s">
        <v>520</v>
      </c>
      <c r="B20" s="259" t="s">
        <v>525</v>
      </c>
      <c r="C20" s="202">
        <v>5132</v>
      </c>
      <c r="D20" s="242"/>
      <c r="E20" s="203">
        <f t="shared" si="4"/>
        <v>-5132</v>
      </c>
      <c r="F20" s="253"/>
      <c r="G20" s="253"/>
      <c r="H20" s="253"/>
      <c r="I20" s="253"/>
      <c r="J20" s="253"/>
      <c r="K20" s="202">
        <f t="shared" si="1"/>
        <v>0</v>
      </c>
      <c r="L20" s="243">
        <f t="shared" si="2"/>
        <v>5132</v>
      </c>
      <c r="M20" s="243">
        <f t="shared" si="2"/>
        <v>0</v>
      </c>
      <c r="N20" s="243">
        <f t="shared" si="3"/>
        <v>-5132</v>
      </c>
    </row>
    <row r="21" spans="1:14" s="248" customFormat="1" ht="25.5" hidden="1" customHeight="1">
      <c r="A21" s="246" t="s">
        <v>520</v>
      </c>
      <c r="B21" s="259" t="s">
        <v>526</v>
      </c>
      <c r="C21" s="202">
        <v>2995</v>
      </c>
      <c r="D21" s="242"/>
      <c r="E21" s="203">
        <f t="shared" si="4"/>
        <v>-2995</v>
      </c>
      <c r="F21" s="253"/>
      <c r="G21" s="253"/>
      <c r="H21" s="253"/>
      <c r="I21" s="253"/>
      <c r="J21" s="253"/>
      <c r="K21" s="202">
        <f t="shared" si="1"/>
        <v>0</v>
      </c>
      <c r="L21" s="243">
        <f t="shared" si="2"/>
        <v>2995</v>
      </c>
      <c r="M21" s="243">
        <f t="shared" si="2"/>
        <v>0</v>
      </c>
      <c r="N21" s="243">
        <f t="shared" si="3"/>
        <v>-2995</v>
      </c>
    </row>
    <row r="22" spans="1:14" s="248" customFormat="1" ht="25.5" hidden="1" customHeight="1">
      <c r="A22" s="246" t="s">
        <v>520</v>
      </c>
      <c r="B22" s="259" t="s">
        <v>527</v>
      </c>
      <c r="C22" s="202">
        <v>2153</v>
      </c>
      <c r="D22" s="242"/>
      <c r="E22" s="203">
        <f t="shared" si="4"/>
        <v>-2153</v>
      </c>
      <c r="F22" s="253"/>
      <c r="G22" s="253"/>
      <c r="H22" s="253"/>
      <c r="I22" s="253"/>
      <c r="J22" s="253"/>
      <c r="K22" s="202">
        <f t="shared" si="1"/>
        <v>0</v>
      </c>
      <c r="L22" s="243">
        <f t="shared" si="2"/>
        <v>2153</v>
      </c>
      <c r="M22" s="243">
        <f t="shared" si="2"/>
        <v>0</v>
      </c>
      <c r="N22" s="243">
        <f t="shared" si="3"/>
        <v>-2153</v>
      </c>
    </row>
    <row r="23" spans="1:14" s="248" customFormat="1" ht="25.5" hidden="1" customHeight="1">
      <c r="A23" s="246" t="s">
        <v>520</v>
      </c>
      <c r="B23" s="260" t="s">
        <v>528</v>
      </c>
      <c r="C23" s="202">
        <v>18344</v>
      </c>
      <c r="D23" s="242"/>
      <c r="E23" s="203">
        <f t="shared" si="4"/>
        <v>-18344</v>
      </c>
      <c r="F23" s="253"/>
      <c r="G23" s="253"/>
      <c r="H23" s="253"/>
      <c r="I23" s="253"/>
      <c r="J23" s="253"/>
      <c r="K23" s="202">
        <f t="shared" si="1"/>
        <v>0</v>
      </c>
      <c r="L23" s="243">
        <f t="shared" si="2"/>
        <v>18344</v>
      </c>
      <c r="M23" s="243">
        <f t="shared" si="2"/>
        <v>0</v>
      </c>
      <c r="N23" s="243">
        <f t="shared" si="3"/>
        <v>-18344</v>
      </c>
    </row>
    <row r="24" spans="1:14" s="248" customFormat="1" ht="25.5" hidden="1" customHeight="1">
      <c r="A24" s="246" t="s">
        <v>520</v>
      </c>
      <c r="B24" s="259" t="s">
        <v>529</v>
      </c>
      <c r="C24" s="202">
        <v>8545</v>
      </c>
      <c r="D24" s="242"/>
      <c r="E24" s="203">
        <f t="shared" si="4"/>
        <v>-8545</v>
      </c>
      <c r="F24" s="253"/>
      <c r="G24" s="253"/>
      <c r="H24" s="253"/>
      <c r="I24" s="253"/>
      <c r="J24" s="253"/>
      <c r="K24" s="202">
        <f t="shared" si="1"/>
        <v>0</v>
      </c>
      <c r="L24" s="243">
        <f t="shared" si="2"/>
        <v>8545</v>
      </c>
      <c r="M24" s="243">
        <f t="shared" si="2"/>
        <v>0</v>
      </c>
      <c r="N24" s="243">
        <f t="shared" si="3"/>
        <v>-8545</v>
      </c>
    </row>
    <row r="25" spans="1:14" s="248" customFormat="1" ht="25.5" hidden="1" customHeight="1">
      <c r="A25" s="246" t="s">
        <v>520</v>
      </c>
      <c r="B25" s="259" t="s">
        <v>530</v>
      </c>
      <c r="C25" s="202">
        <v>2249</v>
      </c>
      <c r="D25" s="242"/>
      <c r="E25" s="203">
        <f t="shared" si="4"/>
        <v>-2249</v>
      </c>
      <c r="F25" s="253"/>
      <c r="G25" s="253"/>
      <c r="H25" s="253"/>
      <c r="I25" s="253"/>
      <c r="J25" s="253"/>
      <c r="K25" s="202">
        <f t="shared" si="1"/>
        <v>0</v>
      </c>
      <c r="L25" s="243">
        <f t="shared" si="2"/>
        <v>2249</v>
      </c>
      <c r="M25" s="243">
        <f t="shared" si="2"/>
        <v>0</v>
      </c>
      <c r="N25" s="243">
        <f t="shared" si="3"/>
        <v>-2249</v>
      </c>
    </row>
    <row r="26" spans="1:14" s="248" customFormat="1" ht="38.25" hidden="1" customHeight="1">
      <c r="A26" s="246" t="s">
        <v>520</v>
      </c>
      <c r="B26" s="260" t="s">
        <v>531</v>
      </c>
      <c r="C26" s="202">
        <v>10231</v>
      </c>
      <c r="D26" s="242"/>
      <c r="E26" s="203">
        <f t="shared" si="4"/>
        <v>-10231</v>
      </c>
      <c r="F26" s="253"/>
      <c r="G26" s="253"/>
      <c r="H26" s="253"/>
      <c r="I26" s="253"/>
      <c r="J26" s="253"/>
      <c r="K26" s="202">
        <f t="shared" si="1"/>
        <v>0</v>
      </c>
      <c r="L26" s="243">
        <f t="shared" si="2"/>
        <v>10231</v>
      </c>
      <c r="M26" s="243">
        <f t="shared" si="2"/>
        <v>0</v>
      </c>
      <c r="N26" s="243">
        <f t="shared" si="3"/>
        <v>-10231</v>
      </c>
    </row>
    <row r="27" spans="1:14" s="248" customFormat="1" ht="25.5" hidden="1" customHeight="1">
      <c r="A27" s="246" t="s">
        <v>520</v>
      </c>
      <c r="B27" s="260" t="s">
        <v>532</v>
      </c>
      <c r="C27" s="202">
        <v>15981</v>
      </c>
      <c r="D27" s="242"/>
      <c r="E27" s="203">
        <f t="shared" si="4"/>
        <v>-15981</v>
      </c>
      <c r="F27" s="253"/>
      <c r="G27" s="253"/>
      <c r="H27" s="253"/>
      <c r="I27" s="253"/>
      <c r="J27" s="253"/>
      <c r="K27" s="202">
        <f t="shared" si="1"/>
        <v>0</v>
      </c>
      <c r="L27" s="243">
        <f t="shared" si="2"/>
        <v>15981</v>
      </c>
      <c r="M27" s="243">
        <f t="shared" si="2"/>
        <v>0</v>
      </c>
      <c r="N27" s="243">
        <f t="shared" si="3"/>
        <v>-15981</v>
      </c>
    </row>
    <row r="28" spans="1:14" s="248" customFormat="1" ht="38.25" hidden="1" customHeight="1">
      <c r="A28" s="246" t="s">
        <v>520</v>
      </c>
      <c r="B28" s="260" t="s">
        <v>533</v>
      </c>
      <c r="C28" s="202">
        <v>28029</v>
      </c>
      <c r="D28" s="203" t="e">
        <f>#REF!</f>
        <v>#REF!</v>
      </c>
      <c r="E28" s="203" t="e">
        <f t="shared" si="4"/>
        <v>#REF!</v>
      </c>
      <c r="F28" s="253"/>
      <c r="G28" s="253"/>
      <c r="H28" s="253"/>
      <c r="I28" s="253"/>
      <c r="J28" s="253"/>
      <c r="K28" s="202">
        <f t="shared" si="1"/>
        <v>0</v>
      </c>
      <c r="L28" s="243">
        <f t="shared" si="2"/>
        <v>28029</v>
      </c>
      <c r="M28" s="243" t="e">
        <f t="shared" si="2"/>
        <v>#REF!</v>
      </c>
      <c r="N28" s="243" t="e">
        <f t="shared" si="3"/>
        <v>#REF!</v>
      </c>
    </row>
    <row r="29" spans="1:14" s="248" customFormat="1" ht="38.25" hidden="1" customHeight="1">
      <c r="A29" s="246" t="s">
        <v>520</v>
      </c>
      <c r="B29" s="260" t="s">
        <v>534</v>
      </c>
      <c r="C29" s="202">
        <v>34428</v>
      </c>
      <c r="D29" s="242"/>
      <c r="E29" s="203">
        <f t="shared" si="4"/>
        <v>-34428</v>
      </c>
      <c r="F29" s="253"/>
      <c r="G29" s="253"/>
      <c r="H29" s="253"/>
      <c r="I29" s="253"/>
      <c r="J29" s="253"/>
      <c r="K29" s="202">
        <f t="shared" si="1"/>
        <v>0</v>
      </c>
      <c r="L29" s="243">
        <f t="shared" si="2"/>
        <v>34428</v>
      </c>
      <c r="M29" s="243">
        <f t="shared" si="2"/>
        <v>0</v>
      </c>
      <c r="N29" s="243">
        <f t="shared" si="3"/>
        <v>-34428</v>
      </c>
    </row>
    <row r="30" spans="1:14" s="248" customFormat="1" ht="25.5" hidden="1" customHeight="1">
      <c r="A30" s="246" t="s">
        <v>520</v>
      </c>
      <c r="B30" s="259" t="s">
        <v>535</v>
      </c>
      <c r="C30" s="202">
        <v>9236</v>
      </c>
      <c r="D30" s="242"/>
      <c r="E30" s="203">
        <f t="shared" si="4"/>
        <v>-9236</v>
      </c>
      <c r="F30" s="253"/>
      <c r="G30" s="253"/>
      <c r="H30" s="253"/>
      <c r="I30" s="253"/>
      <c r="J30" s="253"/>
      <c r="K30" s="202">
        <f t="shared" si="1"/>
        <v>0</v>
      </c>
      <c r="L30" s="243">
        <f t="shared" si="2"/>
        <v>9236</v>
      </c>
      <c r="M30" s="243">
        <f t="shared" si="2"/>
        <v>0</v>
      </c>
      <c r="N30" s="243">
        <f t="shared" si="3"/>
        <v>-9236</v>
      </c>
    </row>
    <row r="31" spans="1:14" s="248" customFormat="1" ht="25.5" hidden="1" customHeight="1">
      <c r="A31" s="246" t="s">
        <v>520</v>
      </c>
      <c r="B31" s="260" t="s">
        <v>536</v>
      </c>
      <c r="C31" s="202">
        <v>4486</v>
      </c>
      <c r="D31" s="203" t="e">
        <f>#REF!</f>
        <v>#REF!</v>
      </c>
      <c r="E31" s="203" t="e">
        <f t="shared" si="4"/>
        <v>#REF!</v>
      </c>
      <c r="F31" s="253"/>
      <c r="G31" s="253"/>
      <c r="H31" s="253"/>
      <c r="I31" s="253"/>
      <c r="J31" s="253"/>
      <c r="K31" s="202">
        <f t="shared" si="1"/>
        <v>0</v>
      </c>
      <c r="L31" s="243">
        <f t="shared" si="2"/>
        <v>4486</v>
      </c>
      <c r="M31" s="243" t="e">
        <f t="shared" si="2"/>
        <v>#REF!</v>
      </c>
      <c r="N31" s="243" t="e">
        <f t="shared" si="3"/>
        <v>#REF!</v>
      </c>
    </row>
    <row r="32" spans="1:14" s="248" customFormat="1" ht="2.25" hidden="1" customHeight="1">
      <c r="A32" s="246" t="s">
        <v>520</v>
      </c>
      <c r="B32" s="260" t="s">
        <v>537</v>
      </c>
      <c r="C32" s="202">
        <v>11927</v>
      </c>
      <c r="D32" s="203" t="e">
        <f>#REF!</f>
        <v>#REF!</v>
      </c>
      <c r="E32" s="203" t="e">
        <f t="shared" si="4"/>
        <v>#REF!</v>
      </c>
      <c r="F32" s="253"/>
      <c r="G32" s="253"/>
      <c r="H32" s="253"/>
      <c r="I32" s="253"/>
      <c r="J32" s="253"/>
      <c r="K32" s="202">
        <f t="shared" si="1"/>
        <v>0</v>
      </c>
      <c r="L32" s="243">
        <f t="shared" si="2"/>
        <v>11927</v>
      </c>
      <c r="M32" s="243" t="e">
        <f t="shared" si="2"/>
        <v>#REF!</v>
      </c>
      <c r="N32" s="243" t="e">
        <f t="shared" si="3"/>
        <v>#REF!</v>
      </c>
    </row>
    <row r="33" spans="1:14" s="248" customFormat="1" ht="25.5" hidden="1" customHeight="1">
      <c r="A33" s="246" t="s">
        <v>520</v>
      </c>
      <c r="B33" s="259" t="s">
        <v>538</v>
      </c>
      <c r="C33" s="202">
        <v>3465</v>
      </c>
      <c r="D33" s="242"/>
      <c r="E33" s="203">
        <f t="shared" si="4"/>
        <v>-3465</v>
      </c>
      <c r="F33" s="253"/>
      <c r="G33" s="253"/>
      <c r="H33" s="253"/>
      <c r="I33" s="253"/>
      <c r="J33" s="253"/>
      <c r="K33" s="202">
        <f t="shared" si="1"/>
        <v>0</v>
      </c>
      <c r="L33" s="243">
        <f t="shared" si="2"/>
        <v>3465</v>
      </c>
      <c r="M33" s="243">
        <f t="shared" si="2"/>
        <v>0</v>
      </c>
      <c r="N33" s="243">
        <f t="shared" si="3"/>
        <v>-3465</v>
      </c>
    </row>
    <row r="34" spans="1:14" s="248" customFormat="1" ht="25.5" hidden="1" customHeight="1">
      <c r="A34" s="246" t="s">
        <v>520</v>
      </c>
      <c r="B34" s="259" t="s">
        <v>539</v>
      </c>
      <c r="C34" s="202">
        <v>2880</v>
      </c>
      <c r="D34" s="242"/>
      <c r="E34" s="203">
        <f t="shared" si="4"/>
        <v>-2880</v>
      </c>
      <c r="F34" s="253"/>
      <c r="G34" s="253"/>
      <c r="H34" s="253"/>
      <c r="I34" s="253"/>
      <c r="J34" s="253"/>
      <c r="K34" s="202">
        <f t="shared" si="1"/>
        <v>0</v>
      </c>
      <c r="L34" s="243">
        <f t="shared" si="2"/>
        <v>2880</v>
      </c>
      <c r="M34" s="243">
        <f t="shared" si="2"/>
        <v>0</v>
      </c>
      <c r="N34" s="243">
        <f t="shared" si="3"/>
        <v>-2880</v>
      </c>
    </row>
    <row r="35" spans="1:14" s="248" customFormat="1" ht="25.5" hidden="1" customHeight="1">
      <c r="A35" s="246" t="s">
        <v>520</v>
      </c>
      <c r="B35" s="259" t="s">
        <v>540</v>
      </c>
      <c r="C35" s="202">
        <v>11481</v>
      </c>
      <c r="D35" s="242" t="e">
        <f>#REF!</f>
        <v>#REF!</v>
      </c>
      <c r="E35" s="203" t="e">
        <f t="shared" si="4"/>
        <v>#REF!</v>
      </c>
      <c r="F35" s="253"/>
      <c r="G35" s="253"/>
      <c r="H35" s="253"/>
      <c r="I35" s="253"/>
      <c r="J35" s="253"/>
      <c r="K35" s="202">
        <f t="shared" si="1"/>
        <v>0</v>
      </c>
      <c r="L35" s="243">
        <f t="shared" si="2"/>
        <v>11481</v>
      </c>
      <c r="M35" s="243" t="e">
        <f t="shared" si="2"/>
        <v>#REF!</v>
      </c>
      <c r="N35" s="243" t="e">
        <f t="shared" si="3"/>
        <v>#REF!</v>
      </c>
    </row>
    <row r="36" spans="1:14" s="248" customFormat="1" ht="25.5" hidden="1" customHeight="1">
      <c r="A36" s="246" t="s">
        <v>520</v>
      </c>
      <c r="B36" s="259" t="s">
        <v>541</v>
      </c>
      <c r="C36" s="202">
        <v>3150</v>
      </c>
      <c r="D36" s="242"/>
      <c r="E36" s="203">
        <f t="shared" si="4"/>
        <v>-3150</v>
      </c>
      <c r="F36" s="253"/>
      <c r="G36" s="253"/>
      <c r="H36" s="253"/>
      <c r="I36" s="253"/>
      <c r="J36" s="253"/>
      <c r="K36" s="202">
        <f t="shared" si="1"/>
        <v>0</v>
      </c>
      <c r="L36" s="243">
        <f t="shared" si="2"/>
        <v>3150</v>
      </c>
      <c r="M36" s="243">
        <f t="shared" si="2"/>
        <v>0</v>
      </c>
      <c r="N36" s="243">
        <f t="shared" si="3"/>
        <v>-3150</v>
      </c>
    </row>
    <row r="37" spans="1:14" s="248" customFormat="1" ht="25.5" hidden="1" customHeight="1">
      <c r="A37" s="246" t="s">
        <v>520</v>
      </c>
      <c r="B37" s="259" t="s">
        <v>542</v>
      </c>
      <c r="C37" s="202">
        <v>15999</v>
      </c>
      <c r="D37" s="242"/>
      <c r="E37" s="203">
        <f t="shared" si="4"/>
        <v>-15999</v>
      </c>
      <c r="F37" s="253"/>
      <c r="G37" s="253"/>
      <c r="H37" s="253"/>
      <c r="I37" s="253"/>
      <c r="J37" s="253"/>
      <c r="K37" s="202">
        <f t="shared" si="1"/>
        <v>0</v>
      </c>
      <c r="L37" s="243">
        <f t="shared" si="2"/>
        <v>15999</v>
      </c>
      <c r="M37" s="243">
        <f t="shared" si="2"/>
        <v>0</v>
      </c>
      <c r="N37" s="243">
        <f t="shared" si="3"/>
        <v>-15999</v>
      </c>
    </row>
    <row r="38" spans="1:14" s="248" customFormat="1" ht="25.5" hidden="1" customHeight="1">
      <c r="A38" s="246" t="s">
        <v>520</v>
      </c>
      <c r="B38" s="259" t="s">
        <v>543</v>
      </c>
      <c r="C38" s="202">
        <v>3294</v>
      </c>
      <c r="D38" s="242"/>
      <c r="E38" s="203">
        <f t="shared" si="4"/>
        <v>-3294</v>
      </c>
      <c r="F38" s="253"/>
      <c r="G38" s="253"/>
      <c r="H38" s="253"/>
      <c r="I38" s="253"/>
      <c r="J38" s="253"/>
      <c r="K38" s="202">
        <f t="shared" si="1"/>
        <v>0</v>
      </c>
      <c r="L38" s="243">
        <f t="shared" si="2"/>
        <v>3294</v>
      </c>
      <c r="M38" s="243">
        <f t="shared" si="2"/>
        <v>0</v>
      </c>
      <c r="N38" s="243">
        <f t="shared" si="3"/>
        <v>-3294</v>
      </c>
    </row>
    <row r="39" spans="1:14" s="248" customFormat="1" ht="25.5" hidden="1" customHeight="1">
      <c r="A39" s="246" t="s">
        <v>520</v>
      </c>
      <c r="B39" s="259" t="s">
        <v>544</v>
      </c>
      <c r="C39" s="202">
        <v>2964</v>
      </c>
      <c r="D39" s="242"/>
      <c r="E39" s="203">
        <f t="shared" si="4"/>
        <v>-2964</v>
      </c>
      <c r="F39" s="253"/>
      <c r="G39" s="253"/>
      <c r="H39" s="253"/>
      <c r="I39" s="253"/>
      <c r="J39" s="253"/>
      <c r="K39" s="202">
        <f t="shared" si="1"/>
        <v>0</v>
      </c>
      <c r="L39" s="243">
        <f t="shared" si="2"/>
        <v>2964</v>
      </c>
      <c r="M39" s="243">
        <f t="shared" si="2"/>
        <v>0</v>
      </c>
      <c r="N39" s="243">
        <f t="shared" si="3"/>
        <v>-2964</v>
      </c>
    </row>
    <row r="40" spans="1:14" s="248" customFormat="1" ht="25.5" hidden="1" customHeight="1">
      <c r="A40" s="246" t="s">
        <v>520</v>
      </c>
      <c r="B40" s="259" t="s">
        <v>545</v>
      </c>
      <c r="C40" s="202">
        <v>8252</v>
      </c>
      <c r="D40" s="242" t="e">
        <f>#REF!</f>
        <v>#REF!</v>
      </c>
      <c r="E40" s="203" t="e">
        <f t="shared" si="4"/>
        <v>#REF!</v>
      </c>
      <c r="F40" s="253"/>
      <c r="G40" s="253"/>
      <c r="H40" s="253"/>
      <c r="I40" s="253"/>
      <c r="J40" s="253"/>
      <c r="K40" s="202">
        <f t="shared" si="1"/>
        <v>0</v>
      </c>
      <c r="L40" s="243">
        <f t="shared" ref="L40:M69" si="5">C40+F40+I40</f>
        <v>8252</v>
      </c>
      <c r="M40" s="243" t="e">
        <f t="shared" si="5"/>
        <v>#REF!</v>
      </c>
      <c r="N40" s="243" t="e">
        <f t="shared" si="3"/>
        <v>#REF!</v>
      </c>
    </row>
    <row r="41" spans="1:14" s="248" customFormat="1" ht="25.5" hidden="1" customHeight="1">
      <c r="A41" s="246" t="s">
        <v>520</v>
      </c>
      <c r="B41" s="259" t="s">
        <v>546</v>
      </c>
      <c r="C41" s="202">
        <v>6972</v>
      </c>
      <c r="D41" s="242"/>
      <c r="E41" s="203">
        <f t="shared" si="4"/>
        <v>-6972</v>
      </c>
      <c r="F41" s="253"/>
      <c r="G41" s="253"/>
      <c r="H41" s="253"/>
      <c r="I41" s="253"/>
      <c r="J41" s="253"/>
      <c r="K41" s="202">
        <f t="shared" si="1"/>
        <v>0</v>
      </c>
      <c r="L41" s="243">
        <f t="shared" si="5"/>
        <v>6972</v>
      </c>
      <c r="M41" s="243">
        <f t="shared" si="5"/>
        <v>0</v>
      </c>
      <c r="N41" s="243">
        <f t="shared" si="3"/>
        <v>-6972</v>
      </c>
    </row>
    <row r="42" spans="1:14" s="248" customFormat="1" ht="25.5" hidden="1" customHeight="1">
      <c r="A42" s="246" t="s">
        <v>520</v>
      </c>
      <c r="B42" s="259" t="s">
        <v>547</v>
      </c>
      <c r="C42" s="202">
        <v>15033</v>
      </c>
      <c r="D42" s="242"/>
      <c r="E42" s="203">
        <f t="shared" si="4"/>
        <v>-15033</v>
      </c>
      <c r="F42" s="253"/>
      <c r="G42" s="253"/>
      <c r="H42" s="253"/>
      <c r="I42" s="253"/>
      <c r="J42" s="253"/>
      <c r="K42" s="202">
        <f t="shared" si="1"/>
        <v>0</v>
      </c>
      <c r="L42" s="243">
        <f t="shared" si="5"/>
        <v>15033</v>
      </c>
      <c r="M42" s="243">
        <f t="shared" si="5"/>
        <v>0</v>
      </c>
      <c r="N42" s="243">
        <f t="shared" si="3"/>
        <v>-15033</v>
      </c>
    </row>
    <row r="43" spans="1:14" s="248" customFormat="1" ht="25.5" hidden="1" customHeight="1">
      <c r="A43" s="246" t="s">
        <v>520</v>
      </c>
      <c r="B43" s="259" t="s">
        <v>548</v>
      </c>
      <c r="C43" s="202">
        <v>10248</v>
      </c>
      <c r="D43" s="242"/>
      <c r="E43" s="203">
        <f t="shared" si="4"/>
        <v>-10248</v>
      </c>
      <c r="F43" s="253"/>
      <c r="G43" s="253"/>
      <c r="H43" s="253"/>
      <c r="I43" s="253"/>
      <c r="J43" s="253"/>
      <c r="K43" s="202">
        <f t="shared" si="1"/>
        <v>0</v>
      </c>
      <c r="L43" s="243">
        <f t="shared" si="5"/>
        <v>10248</v>
      </c>
      <c r="M43" s="243">
        <f t="shared" si="5"/>
        <v>0</v>
      </c>
      <c r="N43" s="243">
        <f t="shared" si="3"/>
        <v>-10248</v>
      </c>
    </row>
    <row r="44" spans="1:14" s="248" customFormat="1" ht="25.5" hidden="1" customHeight="1">
      <c r="A44" s="246" t="s">
        <v>520</v>
      </c>
      <c r="B44" s="259" t="s">
        <v>549</v>
      </c>
      <c r="C44" s="202">
        <v>12442</v>
      </c>
      <c r="D44" s="242"/>
      <c r="E44" s="203">
        <f t="shared" si="4"/>
        <v>-12442</v>
      </c>
      <c r="F44" s="253"/>
      <c r="G44" s="253"/>
      <c r="H44" s="253"/>
      <c r="I44" s="253"/>
      <c r="J44" s="253"/>
      <c r="K44" s="202">
        <f t="shared" si="1"/>
        <v>0</v>
      </c>
      <c r="L44" s="243">
        <f t="shared" si="5"/>
        <v>12442</v>
      </c>
      <c r="M44" s="243">
        <f t="shared" si="5"/>
        <v>0</v>
      </c>
      <c r="N44" s="243">
        <f t="shared" si="3"/>
        <v>-12442</v>
      </c>
    </row>
    <row r="45" spans="1:14" s="248" customFormat="1" ht="38.25" hidden="1" customHeight="1">
      <c r="A45" s="246" t="s">
        <v>520</v>
      </c>
      <c r="B45" s="259" t="s">
        <v>550</v>
      </c>
      <c r="C45" s="202">
        <v>3170</v>
      </c>
      <c r="D45" s="242"/>
      <c r="E45" s="203">
        <f t="shared" si="4"/>
        <v>-3170</v>
      </c>
      <c r="F45" s="253"/>
      <c r="G45" s="253"/>
      <c r="H45" s="253"/>
      <c r="I45" s="253"/>
      <c r="J45" s="253"/>
      <c r="K45" s="202">
        <f t="shared" si="1"/>
        <v>0</v>
      </c>
      <c r="L45" s="243">
        <f t="shared" si="5"/>
        <v>3170</v>
      </c>
      <c r="M45" s="243">
        <f t="shared" si="5"/>
        <v>0</v>
      </c>
      <c r="N45" s="243">
        <f t="shared" si="3"/>
        <v>-3170</v>
      </c>
    </row>
    <row r="46" spans="1:14" s="248" customFormat="1" ht="25.5" hidden="1" customHeight="1">
      <c r="A46" s="246" t="s">
        <v>520</v>
      </c>
      <c r="B46" s="260" t="s">
        <v>551</v>
      </c>
      <c r="C46" s="202">
        <v>6306</v>
      </c>
      <c r="D46" s="242"/>
      <c r="E46" s="203">
        <f t="shared" si="4"/>
        <v>-6306</v>
      </c>
      <c r="F46" s="253"/>
      <c r="G46" s="253"/>
      <c r="H46" s="253"/>
      <c r="I46" s="253"/>
      <c r="J46" s="253"/>
      <c r="K46" s="202">
        <f t="shared" si="1"/>
        <v>0</v>
      </c>
      <c r="L46" s="243">
        <f t="shared" si="5"/>
        <v>6306</v>
      </c>
      <c r="M46" s="243">
        <f t="shared" si="5"/>
        <v>0</v>
      </c>
      <c r="N46" s="243">
        <f t="shared" si="3"/>
        <v>-6306</v>
      </c>
    </row>
    <row r="47" spans="1:14" s="248" customFormat="1" ht="25.5" hidden="1" customHeight="1">
      <c r="A47" s="246" t="s">
        <v>520</v>
      </c>
      <c r="B47" s="259" t="s">
        <v>552</v>
      </c>
      <c r="C47" s="202">
        <v>4359</v>
      </c>
      <c r="D47" s="242"/>
      <c r="E47" s="203">
        <f t="shared" si="4"/>
        <v>-4359</v>
      </c>
      <c r="F47" s="253"/>
      <c r="G47" s="253"/>
      <c r="H47" s="253"/>
      <c r="I47" s="253"/>
      <c r="J47" s="253"/>
      <c r="K47" s="202">
        <f t="shared" si="1"/>
        <v>0</v>
      </c>
      <c r="L47" s="243">
        <f t="shared" si="5"/>
        <v>4359</v>
      </c>
      <c r="M47" s="243">
        <f t="shared" si="5"/>
        <v>0</v>
      </c>
      <c r="N47" s="243">
        <f t="shared" si="3"/>
        <v>-4359</v>
      </c>
    </row>
    <row r="48" spans="1:14" s="248" customFormat="1" ht="25.5" hidden="1" customHeight="1">
      <c r="A48" s="246" t="s">
        <v>520</v>
      </c>
      <c r="B48" s="259" t="s">
        <v>553</v>
      </c>
      <c r="C48" s="202">
        <v>6317</v>
      </c>
      <c r="D48" s="242"/>
      <c r="E48" s="203">
        <f t="shared" si="4"/>
        <v>-6317</v>
      </c>
      <c r="F48" s="253"/>
      <c r="G48" s="253"/>
      <c r="H48" s="253"/>
      <c r="I48" s="253"/>
      <c r="J48" s="253"/>
      <c r="K48" s="202">
        <f t="shared" si="1"/>
        <v>0</v>
      </c>
      <c r="L48" s="243">
        <f t="shared" si="5"/>
        <v>6317</v>
      </c>
      <c r="M48" s="243">
        <f t="shared" si="5"/>
        <v>0</v>
      </c>
      <c r="N48" s="243">
        <f t="shared" si="3"/>
        <v>-6317</v>
      </c>
    </row>
    <row r="49" spans="1:14" s="248" customFormat="1" ht="25.5" hidden="1" customHeight="1">
      <c r="A49" s="246" t="s">
        <v>520</v>
      </c>
      <c r="B49" s="260" t="s">
        <v>554</v>
      </c>
      <c r="C49" s="202">
        <v>166245</v>
      </c>
      <c r="D49" s="242"/>
      <c r="E49" s="203">
        <f t="shared" si="4"/>
        <v>-166245</v>
      </c>
      <c r="F49" s="253"/>
      <c r="G49" s="253"/>
      <c r="H49" s="253"/>
      <c r="I49" s="253"/>
      <c r="J49" s="253"/>
      <c r="K49" s="202">
        <f t="shared" si="1"/>
        <v>0</v>
      </c>
      <c r="L49" s="243">
        <f t="shared" si="5"/>
        <v>166245</v>
      </c>
      <c r="M49" s="243">
        <f t="shared" si="5"/>
        <v>0</v>
      </c>
      <c r="N49" s="243">
        <f t="shared" si="3"/>
        <v>-166245</v>
      </c>
    </row>
    <row r="50" spans="1:14" s="248" customFormat="1" ht="25.5" customHeight="1">
      <c r="A50" s="246" t="s">
        <v>555</v>
      </c>
      <c r="B50" s="247" t="s">
        <v>119</v>
      </c>
      <c r="C50" s="202">
        <f>C51</f>
        <v>30449</v>
      </c>
      <c r="D50" s="263" t="e">
        <f>#REF!</f>
        <v>#REF!</v>
      </c>
      <c r="E50" s="203" t="e">
        <f t="shared" si="4"/>
        <v>#REF!</v>
      </c>
      <c r="F50" s="202">
        <v>45488</v>
      </c>
      <c r="G50" s="202" t="e">
        <f>#REF!</f>
        <v>#REF!</v>
      </c>
      <c r="H50" s="202">
        <v>0</v>
      </c>
      <c r="I50" s="202">
        <v>47936</v>
      </c>
      <c r="J50" s="202" t="e">
        <f>#REF!</f>
        <v>#REF!</v>
      </c>
      <c r="K50" s="202" t="e">
        <f t="shared" si="1"/>
        <v>#REF!</v>
      </c>
      <c r="L50" s="243">
        <f t="shared" si="5"/>
        <v>123873</v>
      </c>
      <c r="M50" s="243" t="e">
        <f t="shared" si="5"/>
        <v>#REF!</v>
      </c>
      <c r="N50" s="243" t="e">
        <f t="shared" si="3"/>
        <v>#REF!</v>
      </c>
    </row>
    <row r="51" spans="1:14" s="248" customFormat="1" ht="0.75" hidden="1" customHeight="1">
      <c r="A51" s="246" t="s">
        <v>520</v>
      </c>
      <c r="B51" s="214" t="s">
        <v>43</v>
      </c>
      <c r="C51" s="202">
        <f>SUM(C52:C54)</f>
        <v>30449</v>
      </c>
      <c r="D51" s="202" t="e">
        <f>D52+D53+D54+D55+D56</f>
        <v>#REF!</v>
      </c>
      <c r="E51" s="203" t="e">
        <f t="shared" si="4"/>
        <v>#REF!</v>
      </c>
      <c r="F51" s="253"/>
      <c r="G51" s="253"/>
      <c r="H51" s="253"/>
      <c r="I51" s="253"/>
      <c r="J51" s="253"/>
      <c r="K51" s="202">
        <f t="shared" si="1"/>
        <v>0</v>
      </c>
      <c r="L51" s="243">
        <f t="shared" si="5"/>
        <v>30449</v>
      </c>
      <c r="M51" s="243" t="e">
        <f t="shared" si="5"/>
        <v>#REF!</v>
      </c>
      <c r="N51" s="243" t="e">
        <f t="shared" si="3"/>
        <v>#REF!</v>
      </c>
    </row>
    <row r="52" spans="1:14" s="248" customFormat="1" ht="25.5" hidden="1" customHeight="1">
      <c r="A52" s="246" t="s">
        <v>520</v>
      </c>
      <c r="B52" s="261" t="s">
        <v>556</v>
      </c>
      <c r="C52" s="200">
        <v>23088</v>
      </c>
      <c r="D52" s="200" t="e">
        <f>#REF!</f>
        <v>#REF!</v>
      </c>
      <c r="E52" s="203" t="e">
        <f t="shared" si="4"/>
        <v>#REF!</v>
      </c>
      <c r="F52" s="253"/>
      <c r="G52" s="253"/>
      <c r="H52" s="253"/>
      <c r="I52" s="253"/>
      <c r="J52" s="253"/>
      <c r="K52" s="202">
        <f t="shared" si="1"/>
        <v>0</v>
      </c>
      <c r="L52" s="243">
        <f t="shared" si="5"/>
        <v>23088</v>
      </c>
      <c r="M52" s="243" t="e">
        <f t="shared" si="5"/>
        <v>#REF!</v>
      </c>
      <c r="N52" s="243" t="e">
        <f t="shared" si="3"/>
        <v>#REF!</v>
      </c>
    </row>
    <row r="53" spans="1:14" s="248" customFormat="1" ht="25.5" hidden="1" customHeight="1">
      <c r="A53" s="246" t="s">
        <v>520</v>
      </c>
      <c r="B53" s="259" t="s">
        <v>557</v>
      </c>
      <c r="C53" s="200">
        <v>5340</v>
      </c>
      <c r="D53" s="200">
        <f>C53</f>
        <v>5340</v>
      </c>
      <c r="E53" s="203">
        <f t="shared" si="4"/>
        <v>0</v>
      </c>
      <c r="F53" s="218" t="s">
        <v>558</v>
      </c>
      <c r="G53" s="218"/>
      <c r="H53" s="218"/>
      <c r="I53" s="218"/>
      <c r="J53" s="253"/>
      <c r="K53" s="202">
        <f t="shared" si="1"/>
        <v>0</v>
      </c>
      <c r="L53" s="243" t="e">
        <f t="shared" si="5"/>
        <v>#VALUE!</v>
      </c>
      <c r="M53" s="243">
        <f t="shared" si="5"/>
        <v>5340</v>
      </c>
      <c r="N53" s="243" t="e">
        <f t="shared" si="3"/>
        <v>#VALUE!</v>
      </c>
    </row>
    <row r="54" spans="1:14" s="248" customFormat="1" ht="12.75" hidden="1" customHeight="1">
      <c r="A54" s="246" t="s">
        <v>520</v>
      </c>
      <c r="B54" s="259" t="s">
        <v>559</v>
      </c>
      <c r="C54" s="200">
        <v>2021</v>
      </c>
      <c r="D54" s="200">
        <v>0</v>
      </c>
      <c r="E54" s="203">
        <f t="shared" si="4"/>
        <v>-2021</v>
      </c>
      <c r="F54" s="253"/>
      <c r="G54" s="253"/>
      <c r="H54" s="253"/>
      <c r="I54" s="253"/>
      <c r="J54" s="253"/>
      <c r="K54" s="202">
        <f t="shared" si="1"/>
        <v>0</v>
      </c>
      <c r="L54" s="243">
        <f t="shared" si="5"/>
        <v>2021</v>
      </c>
      <c r="M54" s="243">
        <f t="shared" si="5"/>
        <v>0</v>
      </c>
      <c r="N54" s="243">
        <f t="shared" si="3"/>
        <v>-2021</v>
      </c>
    </row>
    <row r="55" spans="1:14" s="248" customFormat="1" ht="12.75" hidden="1" customHeight="1">
      <c r="A55" s="246" t="s">
        <v>520</v>
      </c>
      <c r="B55" s="259" t="s">
        <v>451</v>
      </c>
      <c r="C55" s="200" t="s">
        <v>560</v>
      </c>
      <c r="D55" s="200" t="e">
        <f>#REF!</f>
        <v>#REF!</v>
      </c>
      <c r="E55" s="203" t="e">
        <f>D55</f>
        <v>#REF!</v>
      </c>
      <c r="F55" s="253"/>
      <c r="G55" s="253"/>
      <c r="H55" s="253"/>
      <c r="I55" s="253"/>
      <c r="J55" s="253"/>
      <c r="K55" s="202">
        <f t="shared" si="1"/>
        <v>0</v>
      </c>
      <c r="L55" s="243" t="e">
        <f t="shared" si="5"/>
        <v>#VALUE!</v>
      </c>
      <c r="M55" s="243" t="e">
        <f t="shared" si="5"/>
        <v>#REF!</v>
      </c>
      <c r="N55" s="243" t="e">
        <f t="shared" si="3"/>
        <v>#REF!</v>
      </c>
    </row>
    <row r="56" spans="1:14" s="248" customFormat="1" ht="12.75" hidden="1" customHeight="1">
      <c r="A56" s="246" t="s">
        <v>520</v>
      </c>
      <c r="B56" s="262" t="s">
        <v>452</v>
      </c>
      <c r="C56" s="200" t="s">
        <v>560</v>
      </c>
      <c r="D56" s="200" t="e">
        <f>#REF!</f>
        <v>#REF!</v>
      </c>
      <c r="E56" s="203" t="e">
        <f>D56</f>
        <v>#REF!</v>
      </c>
      <c r="F56" s="253"/>
      <c r="G56" s="253"/>
      <c r="H56" s="253"/>
      <c r="I56" s="253"/>
      <c r="J56" s="253"/>
      <c r="K56" s="202">
        <f t="shared" si="1"/>
        <v>0</v>
      </c>
      <c r="L56" s="243" t="e">
        <f t="shared" si="5"/>
        <v>#VALUE!</v>
      </c>
      <c r="M56" s="243" t="e">
        <f t="shared" si="5"/>
        <v>#REF!</v>
      </c>
      <c r="N56" s="243" t="e">
        <f t="shared" si="3"/>
        <v>#REF!</v>
      </c>
    </row>
    <row r="57" spans="1:14" s="248" customFormat="1" ht="21" customHeight="1">
      <c r="A57" s="246" t="s">
        <v>561</v>
      </c>
      <c r="B57" s="247" t="s">
        <v>562</v>
      </c>
      <c r="C57" s="200">
        <f>SUM(C58:C66)</f>
        <v>9660</v>
      </c>
      <c r="D57" s="203" t="e">
        <f>#REF!</f>
        <v>#REF!</v>
      </c>
      <c r="E57" s="203" t="e">
        <f t="shared" ref="E57:E69" si="6">D57-C57</f>
        <v>#REF!</v>
      </c>
      <c r="F57" s="202">
        <v>9457</v>
      </c>
      <c r="G57" s="202" t="e">
        <f>#REF!</f>
        <v>#REF!</v>
      </c>
      <c r="H57" s="202">
        <v>0</v>
      </c>
      <c r="I57" s="202">
        <v>9621</v>
      </c>
      <c r="J57" s="202" t="e">
        <f>#REF!</f>
        <v>#REF!</v>
      </c>
      <c r="K57" s="202" t="e">
        <f t="shared" si="1"/>
        <v>#REF!</v>
      </c>
      <c r="L57" s="243">
        <f t="shared" si="5"/>
        <v>28738</v>
      </c>
      <c r="M57" s="243" t="e">
        <f t="shared" si="5"/>
        <v>#REF!</v>
      </c>
      <c r="N57" s="243" t="e">
        <f t="shared" si="3"/>
        <v>#REF!</v>
      </c>
    </row>
    <row r="58" spans="1:14" s="248" customFormat="1" ht="51" hidden="1" customHeight="1">
      <c r="A58" s="246" t="s">
        <v>520</v>
      </c>
      <c r="B58" s="259" t="s">
        <v>563</v>
      </c>
      <c r="C58" s="200">
        <v>1056</v>
      </c>
      <c r="D58" s="242" t="e">
        <f>#REF!</f>
        <v>#REF!</v>
      </c>
      <c r="E58" s="242" t="e">
        <f t="shared" si="6"/>
        <v>#REF!</v>
      </c>
      <c r="F58" s="253"/>
      <c r="G58" s="253"/>
      <c r="H58" s="253"/>
      <c r="I58" s="253"/>
      <c r="J58" s="253"/>
      <c r="K58" s="202">
        <f t="shared" si="1"/>
        <v>0</v>
      </c>
      <c r="L58" s="243">
        <f t="shared" si="5"/>
        <v>1056</v>
      </c>
      <c r="M58" s="243" t="e">
        <f t="shared" si="5"/>
        <v>#REF!</v>
      </c>
      <c r="N58" s="243" t="e">
        <f t="shared" si="3"/>
        <v>#REF!</v>
      </c>
    </row>
    <row r="59" spans="1:14" s="248" customFormat="1" ht="12.75" hidden="1" customHeight="1">
      <c r="A59" s="246" t="s">
        <v>520</v>
      </c>
      <c r="B59" s="259" t="s">
        <v>564</v>
      </c>
      <c r="C59" s="200">
        <v>167</v>
      </c>
      <c r="D59" s="242" t="e">
        <f>#REF!</f>
        <v>#REF!</v>
      </c>
      <c r="E59" s="242" t="e">
        <f t="shared" si="6"/>
        <v>#REF!</v>
      </c>
      <c r="F59" s="253"/>
      <c r="G59" s="253"/>
      <c r="H59" s="253"/>
      <c r="I59" s="253"/>
      <c r="J59" s="253"/>
      <c r="K59" s="202">
        <f t="shared" si="1"/>
        <v>0</v>
      </c>
      <c r="L59" s="243">
        <f t="shared" si="5"/>
        <v>167</v>
      </c>
      <c r="M59" s="243" t="e">
        <f t="shared" si="5"/>
        <v>#REF!</v>
      </c>
      <c r="N59" s="243" t="e">
        <f t="shared" si="3"/>
        <v>#REF!</v>
      </c>
    </row>
    <row r="60" spans="1:14" s="248" customFormat="1" ht="12.75" hidden="1" customHeight="1">
      <c r="A60" s="246" t="s">
        <v>520</v>
      </c>
      <c r="B60" s="259" t="s">
        <v>565</v>
      </c>
      <c r="C60" s="200">
        <v>603</v>
      </c>
      <c r="D60" s="242" t="e">
        <f>#REF!</f>
        <v>#REF!</v>
      </c>
      <c r="E60" s="242" t="e">
        <f t="shared" si="6"/>
        <v>#REF!</v>
      </c>
      <c r="F60" s="253"/>
      <c r="G60" s="253"/>
      <c r="H60" s="253"/>
      <c r="I60" s="253"/>
      <c r="J60" s="253"/>
      <c r="K60" s="202">
        <f t="shared" si="1"/>
        <v>0</v>
      </c>
      <c r="L60" s="243">
        <f t="shared" si="5"/>
        <v>603</v>
      </c>
      <c r="M60" s="243" t="e">
        <f t="shared" si="5"/>
        <v>#REF!</v>
      </c>
      <c r="N60" s="243" t="e">
        <f t="shared" si="3"/>
        <v>#REF!</v>
      </c>
    </row>
    <row r="61" spans="1:14" s="248" customFormat="1" ht="38.25" hidden="1" customHeight="1">
      <c r="A61" s="246" t="s">
        <v>520</v>
      </c>
      <c r="B61" s="260" t="s">
        <v>566</v>
      </c>
      <c r="C61" s="200">
        <v>55</v>
      </c>
      <c r="D61" s="242" t="e">
        <f>#REF!</f>
        <v>#REF!</v>
      </c>
      <c r="E61" s="242" t="e">
        <f t="shared" si="6"/>
        <v>#REF!</v>
      </c>
      <c r="F61" s="253"/>
      <c r="G61" s="253"/>
      <c r="H61" s="253"/>
      <c r="I61" s="264"/>
      <c r="J61" s="253"/>
      <c r="K61" s="202">
        <f t="shared" si="1"/>
        <v>0</v>
      </c>
      <c r="L61" s="243">
        <f t="shared" si="5"/>
        <v>55</v>
      </c>
      <c r="M61" s="243" t="e">
        <f t="shared" si="5"/>
        <v>#REF!</v>
      </c>
      <c r="N61" s="243" t="e">
        <f t="shared" si="3"/>
        <v>#REF!</v>
      </c>
    </row>
    <row r="62" spans="1:14" s="248" customFormat="1" ht="12.75" hidden="1" customHeight="1">
      <c r="A62" s="246" t="s">
        <v>520</v>
      </c>
      <c r="B62" s="259" t="s">
        <v>567</v>
      </c>
      <c r="C62" s="200">
        <v>861</v>
      </c>
      <c r="D62" s="242" t="e">
        <f>#REF!</f>
        <v>#REF!</v>
      </c>
      <c r="E62" s="242" t="e">
        <f t="shared" si="6"/>
        <v>#REF!</v>
      </c>
      <c r="F62" s="253"/>
      <c r="G62" s="253"/>
      <c r="H62" s="253"/>
      <c r="I62" s="253"/>
      <c r="J62" s="253"/>
      <c r="K62" s="202">
        <f t="shared" si="1"/>
        <v>0</v>
      </c>
      <c r="L62" s="243">
        <f t="shared" si="5"/>
        <v>861</v>
      </c>
      <c r="M62" s="243" t="e">
        <f t="shared" si="5"/>
        <v>#REF!</v>
      </c>
      <c r="N62" s="243" t="e">
        <f t="shared" si="3"/>
        <v>#REF!</v>
      </c>
    </row>
    <row r="63" spans="1:14" s="248" customFormat="1" ht="12.75" hidden="1" customHeight="1">
      <c r="A63" s="246" t="s">
        <v>520</v>
      </c>
      <c r="B63" s="259" t="s">
        <v>568</v>
      </c>
      <c r="C63" s="200">
        <v>138</v>
      </c>
      <c r="D63" s="242" t="e">
        <f>#REF!</f>
        <v>#REF!</v>
      </c>
      <c r="E63" s="242" t="e">
        <f t="shared" si="6"/>
        <v>#REF!</v>
      </c>
      <c r="F63" s="253"/>
      <c r="G63" s="253"/>
      <c r="H63" s="253"/>
      <c r="I63" s="253"/>
      <c r="J63" s="253"/>
      <c r="K63" s="202">
        <f t="shared" si="1"/>
        <v>0</v>
      </c>
      <c r="L63" s="243">
        <f t="shared" si="5"/>
        <v>138</v>
      </c>
      <c r="M63" s="243" t="e">
        <f t="shared" si="5"/>
        <v>#REF!</v>
      </c>
      <c r="N63" s="243" t="e">
        <f t="shared" si="3"/>
        <v>#REF!</v>
      </c>
    </row>
    <row r="64" spans="1:14" s="248" customFormat="1" ht="25.5" hidden="1" customHeight="1">
      <c r="A64" s="246" t="s">
        <v>520</v>
      </c>
      <c r="B64" s="259" t="s">
        <v>569</v>
      </c>
      <c r="C64" s="200">
        <v>207</v>
      </c>
      <c r="D64" s="242" t="e">
        <f>#REF!</f>
        <v>#REF!</v>
      </c>
      <c r="E64" s="242" t="e">
        <f t="shared" si="6"/>
        <v>#REF!</v>
      </c>
      <c r="F64" s="253"/>
      <c r="G64" s="253"/>
      <c r="H64" s="253"/>
      <c r="I64" s="253"/>
      <c r="J64" s="253"/>
      <c r="K64" s="202">
        <f t="shared" si="1"/>
        <v>0</v>
      </c>
      <c r="L64" s="243">
        <f t="shared" si="5"/>
        <v>207</v>
      </c>
      <c r="M64" s="243" t="e">
        <f t="shared" si="5"/>
        <v>#REF!</v>
      </c>
      <c r="N64" s="243" t="e">
        <f t="shared" si="3"/>
        <v>#REF!</v>
      </c>
    </row>
    <row r="65" spans="1:14" s="248" customFormat="1" ht="12.75" hidden="1" customHeight="1">
      <c r="A65" s="246" t="s">
        <v>520</v>
      </c>
      <c r="B65" s="259" t="s">
        <v>570</v>
      </c>
      <c r="C65" s="200">
        <v>162</v>
      </c>
      <c r="D65" s="242" t="e">
        <f>#REF!</f>
        <v>#REF!</v>
      </c>
      <c r="E65" s="242" t="e">
        <f t="shared" si="6"/>
        <v>#REF!</v>
      </c>
      <c r="F65" s="253"/>
      <c r="G65" s="253"/>
      <c r="H65" s="253"/>
      <c r="I65" s="253"/>
      <c r="J65" s="253"/>
      <c r="K65" s="202">
        <f t="shared" si="1"/>
        <v>0</v>
      </c>
      <c r="L65" s="243">
        <f t="shared" si="5"/>
        <v>162</v>
      </c>
      <c r="M65" s="243" t="e">
        <f t="shared" si="5"/>
        <v>#REF!</v>
      </c>
      <c r="N65" s="243" t="e">
        <f t="shared" si="3"/>
        <v>#REF!</v>
      </c>
    </row>
    <row r="66" spans="1:14" s="248" customFormat="1" ht="25.5" hidden="1" customHeight="1">
      <c r="A66" s="246" t="s">
        <v>520</v>
      </c>
      <c r="B66" s="259" t="s">
        <v>571</v>
      </c>
      <c r="C66" s="200">
        <v>6411</v>
      </c>
      <c r="D66" s="200" t="e">
        <f>#REF!</f>
        <v>#REF!</v>
      </c>
      <c r="E66" s="242" t="e">
        <f t="shared" si="6"/>
        <v>#REF!</v>
      </c>
      <c r="F66" s="253"/>
      <c r="G66" s="253"/>
      <c r="H66" s="253"/>
      <c r="I66" s="253"/>
      <c r="J66" s="253"/>
      <c r="K66" s="202">
        <f t="shared" si="1"/>
        <v>0</v>
      </c>
      <c r="L66" s="243">
        <f t="shared" si="5"/>
        <v>6411</v>
      </c>
      <c r="M66" s="243" t="e">
        <f t="shared" si="5"/>
        <v>#REF!</v>
      </c>
      <c r="N66" s="243" t="e">
        <f t="shared" si="3"/>
        <v>#REF!</v>
      </c>
    </row>
    <row r="67" spans="1:14" ht="22.5" customHeight="1">
      <c r="A67" s="246" t="s">
        <v>572</v>
      </c>
      <c r="B67" s="265" t="s">
        <v>573</v>
      </c>
      <c r="C67" s="203">
        <f>SUM(C68:C69)</f>
        <v>2991</v>
      </c>
      <c r="D67" s="131" t="e">
        <f>#REF!</f>
        <v>#REF!</v>
      </c>
      <c r="E67" s="203" t="e">
        <f t="shared" si="6"/>
        <v>#REF!</v>
      </c>
      <c r="F67" s="202">
        <v>4085</v>
      </c>
      <c r="G67" s="202" t="e">
        <f>#REF!</f>
        <v>#REF!</v>
      </c>
      <c r="H67" s="202">
        <v>0</v>
      </c>
      <c r="I67" s="202">
        <v>3449</v>
      </c>
      <c r="J67" s="202" t="e">
        <f>#REF!</f>
        <v>#REF!</v>
      </c>
      <c r="K67" s="202" t="e">
        <f t="shared" si="1"/>
        <v>#REF!</v>
      </c>
      <c r="L67" s="243">
        <f t="shared" si="5"/>
        <v>10525</v>
      </c>
      <c r="M67" s="243" t="e">
        <f t="shared" si="5"/>
        <v>#REF!</v>
      </c>
      <c r="N67" s="243" t="e">
        <f t="shared" si="3"/>
        <v>#REF!</v>
      </c>
    </row>
    <row r="68" spans="1:14" ht="12.75" hidden="1" customHeight="1">
      <c r="A68" s="246" t="s">
        <v>520</v>
      </c>
      <c r="B68" s="214" t="s">
        <v>574</v>
      </c>
      <c r="C68" s="202">
        <v>1007</v>
      </c>
      <c r="D68" s="200" t="e">
        <f>#REF!</f>
        <v>#REF!</v>
      </c>
      <c r="E68" s="242" t="e">
        <f t="shared" si="6"/>
        <v>#REF!</v>
      </c>
      <c r="F68" s="266"/>
      <c r="G68" s="266"/>
      <c r="H68" s="266"/>
      <c r="I68" s="264"/>
      <c r="J68" s="264"/>
      <c r="K68" s="202">
        <f t="shared" si="1"/>
        <v>0</v>
      </c>
      <c r="L68" s="243">
        <f t="shared" si="5"/>
        <v>1007</v>
      </c>
      <c r="M68" s="243" t="e">
        <f t="shared" si="5"/>
        <v>#REF!</v>
      </c>
      <c r="N68" s="243" t="e">
        <f t="shared" si="3"/>
        <v>#REF!</v>
      </c>
    </row>
    <row r="69" spans="1:14" ht="12.75" hidden="1" customHeight="1">
      <c r="A69" s="246" t="s">
        <v>520</v>
      </c>
      <c r="B69" s="214" t="s">
        <v>252</v>
      </c>
      <c r="C69" s="202">
        <v>1984</v>
      </c>
      <c r="D69" s="200" t="e">
        <f>#REF!</f>
        <v>#REF!</v>
      </c>
      <c r="E69" s="242" t="e">
        <f t="shared" si="6"/>
        <v>#REF!</v>
      </c>
      <c r="F69" s="264"/>
      <c r="G69" s="264"/>
      <c r="H69" s="264"/>
      <c r="I69" s="264"/>
      <c r="J69" s="264"/>
      <c r="K69" s="202">
        <f t="shared" si="1"/>
        <v>0</v>
      </c>
      <c r="L69" s="243">
        <f t="shared" si="5"/>
        <v>1984</v>
      </c>
      <c r="M69" s="243" t="e">
        <f t="shared" si="5"/>
        <v>#REF!</v>
      </c>
      <c r="N69" s="243" t="e">
        <f t="shared" si="3"/>
        <v>#REF!</v>
      </c>
    </row>
    <row r="70" spans="1:14" ht="37.5" customHeight="1">
      <c r="A70" s="267"/>
      <c r="B70" s="268" t="s">
        <v>575</v>
      </c>
      <c r="C70" s="269" t="s">
        <v>576</v>
      </c>
      <c r="D70" s="269" t="e">
        <f>#REF!</f>
        <v>#REF!</v>
      </c>
      <c r="E70" s="269" t="e">
        <f>D70</f>
        <v>#REF!</v>
      </c>
      <c r="F70" s="269" t="s">
        <v>576</v>
      </c>
      <c r="G70" s="269" t="e">
        <f>#REF!</f>
        <v>#REF!</v>
      </c>
      <c r="H70" s="269" t="e">
        <f>G70</f>
        <v>#REF!</v>
      </c>
      <c r="I70" s="269" t="s">
        <v>576</v>
      </c>
      <c r="J70" s="269">
        <v>0</v>
      </c>
      <c r="K70" s="307">
        <v>0</v>
      </c>
      <c r="L70" s="270"/>
      <c r="M70" s="270" t="e">
        <f t="shared" ref="M70:M71" si="7">D70+G70+J70</f>
        <v>#REF!</v>
      </c>
      <c r="N70" s="270" t="e">
        <f t="shared" si="3"/>
        <v>#REF!</v>
      </c>
    </row>
    <row r="71" spans="1:14" ht="1.5" hidden="1" customHeight="1">
      <c r="A71" s="246" t="s">
        <v>520</v>
      </c>
      <c r="B71" s="214" t="s">
        <v>577</v>
      </c>
      <c r="C71" s="269" t="s">
        <v>576</v>
      </c>
      <c r="D71" s="200">
        <f>62734616/1.12/1000</f>
        <v>56013.049999999996</v>
      </c>
      <c r="E71" s="202">
        <f>62734616/1.12/1000</f>
        <v>56013.049999999996</v>
      </c>
      <c r="F71" s="269" t="s">
        <v>576</v>
      </c>
      <c r="G71" s="264"/>
      <c r="H71" s="264"/>
      <c r="I71" s="264"/>
      <c r="J71" s="264"/>
      <c r="K71" s="307">
        <f t="shared" si="1"/>
        <v>0</v>
      </c>
      <c r="L71" s="243" t="e">
        <f t="shared" ref="L71:M86" si="8">C71+F71+I71</f>
        <v>#VALUE!</v>
      </c>
      <c r="M71" s="270">
        <f t="shared" si="7"/>
        <v>56013.049999999996</v>
      </c>
      <c r="N71" s="270" t="e">
        <f t="shared" si="3"/>
        <v>#VALUE!</v>
      </c>
    </row>
    <row r="72" spans="1:14" ht="25.5" hidden="1" customHeight="1">
      <c r="A72" s="246" t="s">
        <v>520</v>
      </c>
      <c r="B72" s="214" t="s">
        <v>578</v>
      </c>
      <c r="C72" s="269" t="s">
        <v>576</v>
      </c>
      <c r="D72" s="200">
        <f>53503285/1.12/1000</f>
        <v>47770.790178571428</v>
      </c>
      <c r="E72" s="202">
        <f>53503285/1.12/1000</f>
        <v>47770.790178571428</v>
      </c>
      <c r="F72" s="269" t="s">
        <v>576</v>
      </c>
      <c r="G72" s="264"/>
      <c r="H72" s="264"/>
      <c r="I72" s="264"/>
      <c r="J72" s="264"/>
      <c r="K72" s="307">
        <f t="shared" ref="K72:K86" si="9">J72-I72</f>
        <v>0</v>
      </c>
      <c r="L72" s="243" t="e">
        <f t="shared" si="8"/>
        <v>#VALUE!</v>
      </c>
      <c r="M72" s="270">
        <f t="shared" si="8"/>
        <v>47770.790178571428</v>
      </c>
      <c r="N72" s="270" t="e">
        <f t="shared" ref="N72:N86" si="10">M72-L72</f>
        <v>#VALUE!</v>
      </c>
    </row>
    <row r="73" spans="1:14" ht="25.5" hidden="1" customHeight="1">
      <c r="A73" s="246" t="s">
        <v>520</v>
      </c>
      <c r="B73" s="214" t="s">
        <v>579</v>
      </c>
      <c r="C73" s="269" t="s">
        <v>576</v>
      </c>
      <c r="D73" s="200">
        <f>19532000/1.12/1000</f>
        <v>17439.285714285714</v>
      </c>
      <c r="E73" s="203">
        <f>19532000/1.12/1000</f>
        <v>17439.285714285714</v>
      </c>
      <c r="F73" s="269" t="s">
        <v>576</v>
      </c>
      <c r="G73" s="264"/>
      <c r="H73" s="264"/>
      <c r="I73" s="264"/>
      <c r="J73" s="264"/>
      <c r="K73" s="307">
        <f t="shared" si="9"/>
        <v>0</v>
      </c>
      <c r="L73" s="243" t="e">
        <f t="shared" si="8"/>
        <v>#VALUE!</v>
      </c>
      <c r="M73" s="270">
        <f t="shared" si="8"/>
        <v>17439.285714285714</v>
      </c>
      <c r="N73" s="270" t="e">
        <f t="shared" si="10"/>
        <v>#VALUE!</v>
      </c>
    </row>
    <row r="74" spans="1:14" ht="25.5" customHeight="1">
      <c r="A74" s="267"/>
      <c r="B74" s="268" t="s">
        <v>580</v>
      </c>
      <c r="C74" s="269" t="s">
        <v>576</v>
      </c>
      <c r="D74" s="269" t="e">
        <f>#REF!</f>
        <v>#REF!</v>
      </c>
      <c r="E74" s="269" t="e">
        <f>D74</f>
        <v>#REF!</v>
      </c>
      <c r="F74" s="269" t="s">
        <v>576</v>
      </c>
      <c r="G74" s="269">
        <v>0</v>
      </c>
      <c r="H74" s="269">
        <v>0</v>
      </c>
      <c r="I74" s="269" t="s">
        <v>576</v>
      </c>
      <c r="J74" s="269">
        <v>0</v>
      </c>
      <c r="K74" s="307">
        <v>0</v>
      </c>
      <c r="L74" s="270"/>
      <c r="M74" s="270" t="e">
        <f t="shared" si="8"/>
        <v>#REF!</v>
      </c>
      <c r="N74" s="270" t="e">
        <f t="shared" si="10"/>
        <v>#REF!</v>
      </c>
    </row>
    <row r="75" spans="1:14" ht="14.25" customHeight="1">
      <c r="A75" s="246" t="s">
        <v>581</v>
      </c>
      <c r="B75" s="247" t="s">
        <v>128</v>
      </c>
      <c r="C75" s="203">
        <f>SUM(C76:C81)</f>
        <v>83182</v>
      </c>
      <c r="D75" s="203">
        <f>'[1]2013(2)'!H85</f>
        <v>83747.460000000006</v>
      </c>
      <c r="E75" s="203">
        <f t="shared" ref="E75:E81" si="11">D75-C75</f>
        <v>565.4600000000064</v>
      </c>
      <c r="F75" s="202">
        <v>79166</v>
      </c>
      <c r="G75" s="202" t="e">
        <f>#REF!</f>
        <v>#REF!</v>
      </c>
      <c r="H75" s="264"/>
      <c r="I75" s="202">
        <v>76327</v>
      </c>
      <c r="J75" s="202" t="e">
        <f>#REF!</f>
        <v>#REF!</v>
      </c>
      <c r="K75" s="202" t="e">
        <f t="shared" si="9"/>
        <v>#REF!</v>
      </c>
      <c r="L75" s="243">
        <f t="shared" si="8"/>
        <v>238675</v>
      </c>
      <c r="M75" s="243" t="e">
        <f t="shared" si="8"/>
        <v>#REF!</v>
      </c>
      <c r="N75" s="243" t="e">
        <f t="shared" si="10"/>
        <v>#REF!</v>
      </c>
    </row>
    <row r="76" spans="1:14" ht="12.75" hidden="1" customHeight="1">
      <c r="A76" s="246" t="s">
        <v>520</v>
      </c>
      <c r="B76" s="259" t="s">
        <v>582</v>
      </c>
      <c r="C76" s="202">
        <v>20063</v>
      </c>
      <c r="D76" s="271" t="e">
        <f>#REF!</f>
        <v>#REF!</v>
      </c>
      <c r="E76" s="271" t="e">
        <f t="shared" si="11"/>
        <v>#REF!</v>
      </c>
      <c r="F76" s="264"/>
      <c r="G76" s="264"/>
      <c r="H76" s="264"/>
      <c r="I76" s="264"/>
      <c r="J76" s="264"/>
      <c r="K76" s="202">
        <f t="shared" si="9"/>
        <v>0</v>
      </c>
      <c r="L76" s="243">
        <f t="shared" si="8"/>
        <v>20063</v>
      </c>
      <c r="M76" s="243" t="e">
        <f t="shared" si="8"/>
        <v>#REF!</v>
      </c>
      <c r="N76" s="243" t="e">
        <f t="shared" si="10"/>
        <v>#REF!</v>
      </c>
    </row>
    <row r="77" spans="1:14" ht="12.75" hidden="1" customHeight="1">
      <c r="A77" s="246" t="s">
        <v>520</v>
      </c>
      <c r="B77" s="259" t="s">
        <v>255</v>
      </c>
      <c r="C77" s="202">
        <v>38858</v>
      </c>
      <c r="D77" s="271" t="e">
        <f>#REF!</f>
        <v>#REF!</v>
      </c>
      <c r="E77" s="271" t="e">
        <f t="shared" si="11"/>
        <v>#REF!</v>
      </c>
      <c r="F77" s="264"/>
      <c r="G77" s="264"/>
      <c r="H77" s="264"/>
      <c r="I77" s="264"/>
      <c r="J77" s="264"/>
      <c r="K77" s="202">
        <f t="shared" si="9"/>
        <v>0</v>
      </c>
      <c r="L77" s="243">
        <f t="shared" si="8"/>
        <v>38858</v>
      </c>
      <c r="M77" s="243" t="e">
        <f t="shared" si="8"/>
        <v>#REF!</v>
      </c>
      <c r="N77" s="243" t="e">
        <f t="shared" si="10"/>
        <v>#REF!</v>
      </c>
    </row>
    <row r="78" spans="1:14" ht="12.75" hidden="1" customHeight="1">
      <c r="A78" s="246" t="s">
        <v>520</v>
      </c>
      <c r="B78" s="259" t="s">
        <v>583</v>
      </c>
      <c r="C78" s="202">
        <v>6783</v>
      </c>
      <c r="D78" s="271" t="e">
        <f>#REF!</f>
        <v>#REF!</v>
      </c>
      <c r="E78" s="271" t="e">
        <f t="shared" si="11"/>
        <v>#REF!</v>
      </c>
      <c r="F78" s="264"/>
      <c r="G78" s="264"/>
      <c r="H78" s="264"/>
      <c r="I78" s="264"/>
      <c r="J78" s="264"/>
      <c r="K78" s="202">
        <f t="shared" si="9"/>
        <v>0</v>
      </c>
      <c r="L78" s="243">
        <f t="shared" si="8"/>
        <v>6783</v>
      </c>
      <c r="M78" s="243" t="e">
        <f t="shared" si="8"/>
        <v>#REF!</v>
      </c>
      <c r="N78" s="243" t="e">
        <f t="shared" si="10"/>
        <v>#REF!</v>
      </c>
    </row>
    <row r="79" spans="1:14" ht="25.5" hidden="1" customHeight="1">
      <c r="A79" s="246" t="s">
        <v>520</v>
      </c>
      <c r="B79" s="259" t="s">
        <v>584</v>
      </c>
      <c r="C79" s="202">
        <v>8403</v>
      </c>
      <c r="D79" s="271" t="e">
        <f>#REF!</f>
        <v>#REF!</v>
      </c>
      <c r="E79" s="271" t="e">
        <f t="shared" si="11"/>
        <v>#REF!</v>
      </c>
      <c r="F79" s="264"/>
      <c r="G79" s="264"/>
      <c r="H79" s="264"/>
      <c r="I79" s="264"/>
      <c r="J79" s="264"/>
      <c r="K79" s="202">
        <f t="shared" si="9"/>
        <v>0</v>
      </c>
      <c r="L79" s="243">
        <f t="shared" si="8"/>
        <v>8403</v>
      </c>
      <c r="M79" s="243" t="e">
        <f t="shared" si="8"/>
        <v>#REF!</v>
      </c>
      <c r="N79" s="243" t="e">
        <f t="shared" si="10"/>
        <v>#REF!</v>
      </c>
    </row>
    <row r="80" spans="1:14" ht="12.75" hidden="1" customHeight="1">
      <c r="A80" s="246" t="s">
        <v>520</v>
      </c>
      <c r="B80" s="259" t="s">
        <v>585</v>
      </c>
      <c r="C80" s="202">
        <v>5907</v>
      </c>
      <c r="D80" s="271" t="e">
        <f>#REF!</f>
        <v>#REF!</v>
      </c>
      <c r="E80" s="271" t="e">
        <f t="shared" si="11"/>
        <v>#REF!</v>
      </c>
      <c r="F80" s="264"/>
      <c r="G80" s="264"/>
      <c r="H80" s="264"/>
      <c r="I80" s="264"/>
      <c r="J80" s="264"/>
      <c r="K80" s="202">
        <f t="shared" si="9"/>
        <v>0</v>
      </c>
      <c r="L80" s="243">
        <f t="shared" si="8"/>
        <v>5907</v>
      </c>
      <c r="M80" s="243" t="e">
        <f t="shared" si="8"/>
        <v>#REF!</v>
      </c>
      <c r="N80" s="243" t="e">
        <f t="shared" si="10"/>
        <v>#REF!</v>
      </c>
    </row>
    <row r="81" spans="1:14" ht="12.75" hidden="1" customHeight="1">
      <c r="A81" s="246" t="s">
        <v>520</v>
      </c>
      <c r="B81" s="259" t="s">
        <v>586</v>
      </c>
      <c r="C81" s="202">
        <v>3168</v>
      </c>
      <c r="D81" s="271">
        <v>0</v>
      </c>
      <c r="E81" s="271">
        <f t="shared" si="11"/>
        <v>-3168</v>
      </c>
      <c r="F81" s="264"/>
      <c r="G81" s="264"/>
      <c r="H81" s="264"/>
      <c r="I81" s="264"/>
      <c r="J81" s="264"/>
      <c r="K81" s="202">
        <f t="shared" si="9"/>
        <v>0</v>
      </c>
      <c r="L81" s="243">
        <f t="shared" si="8"/>
        <v>3168</v>
      </c>
      <c r="M81" s="243">
        <f t="shared" si="8"/>
        <v>0</v>
      </c>
      <c r="N81" s="243">
        <f t="shared" si="10"/>
        <v>-3168</v>
      </c>
    </row>
    <row r="82" spans="1:14" ht="25.5" hidden="1" customHeight="1">
      <c r="A82" s="246" t="s">
        <v>520</v>
      </c>
      <c r="B82" s="259" t="s">
        <v>448</v>
      </c>
      <c r="C82" s="202" t="s">
        <v>560</v>
      </c>
      <c r="D82" s="271">
        <v>2837</v>
      </c>
      <c r="E82" s="271">
        <v>2837</v>
      </c>
      <c r="F82" s="264"/>
      <c r="G82" s="264"/>
      <c r="H82" s="264"/>
      <c r="I82" s="264"/>
      <c r="J82" s="264"/>
      <c r="K82" s="202">
        <f t="shared" si="9"/>
        <v>0</v>
      </c>
      <c r="L82" s="243" t="e">
        <f t="shared" si="8"/>
        <v>#VALUE!</v>
      </c>
      <c r="M82" s="243">
        <f t="shared" si="8"/>
        <v>2837</v>
      </c>
      <c r="N82" s="243" t="e">
        <f t="shared" si="10"/>
        <v>#VALUE!</v>
      </c>
    </row>
    <row r="83" spans="1:14" ht="0.75" hidden="1" customHeight="1">
      <c r="A83" s="246" t="s">
        <v>520</v>
      </c>
      <c r="B83" s="272" t="s">
        <v>587</v>
      </c>
      <c r="C83" s="202" t="s">
        <v>560</v>
      </c>
      <c r="D83" s="271">
        <v>1268</v>
      </c>
      <c r="E83" s="271">
        <v>1268</v>
      </c>
      <c r="F83" s="264"/>
      <c r="G83" s="264"/>
      <c r="H83" s="264"/>
      <c r="I83" s="264"/>
      <c r="J83" s="264"/>
      <c r="K83" s="202">
        <f t="shared" si="9"/>
        <v>0</v>
      </c>
      <c r="L83" s="243" t="e">
        <f t="shared" si="8"/>
        <v>#VALUE!</v>
      </c>
      <c r="M83" s="243">
        <f t="shared" si="8"/>
        <v>1268</v>
      </c>
      <c r="N83" s="243" t="e">
        <f t="shared" si="10"/>
        <v>#VALUE!</v>
      </c>
    </row>
    <row r="84" spans="1:14" ht="21" customHeight="1">
      <c r="A84" s="246" t="s">
        <v>588</v>
      </c>
      <c r="B84" s="273" t="s">
        <v>134</v>
      </c>
      <c r="C84" s="203">
        <v>1830</v>
      </c>
      <c r="D84" s="242">
        <f>'[1]2013(2)'!H86</f>
        <v>1741</v>
      </c>
      <c r="E84" s="242">
        <f>D84-C84</f>
        <v>-89</v>
      </c>
      <c r="F84" s="202">
        <v>887</v>
      </c>
      <c r="G84" s="202" t="e">
        <f>#REF!</f>
        <v>#REF!</v>
      </c>
      <c r="H84" s="264"/>
      <c r="I84" s="202">
        <v>758</v>
      </c>
      <c r="J84" s="202" t="e">
        <f>#REF!</f>
        <v>#REF!</v>
      </c>
      <c r="K84" s="202" t="e">
        <f t="shared" si="9"/>
        <v>#REF!</v>
      </c>
      <c r="L84" s="243">
        <f t="shared" si="8"/>
        <v>3475</v>
      </c>
      <c r="M84" s="243" t="e">
        <f t="shared" si="8"/>
        <v>#REF!</v>
      </c>
      <c r="N84" s="243" t="e">
        <f t="shared" si="10"/>
        <v>#REF!</v>
      </c>
    </row>
    <row r="85" spans="1:14" ht="0.75" hidden="1" customHeight="1">
      <c r="A85" s="246" t="s">
        <v>520</v>
      </c>
      <c r="B85" s="274" t="s">
        <v>31</v>
      </c>
      <c r="C85" s="203">
        <v>1830</v>
      </c>
      <c r="D85" s="242" t="e">
        <f>#REF!</f>
        <v>#REF!</v>
      </c>
      <c r="E85" s="242" t="e">
        <f>D85-C85</f>
        <v>#REF!</v>
      </c>
      <c r="F85" s="264"/>
      <c r="G85" s="264"/>
      <c r="H85" s="264"/>
      <c r="I85" s="264"/>
      <c r="J85" s="264"/>
      <c r="K85" s="202">
        <f t="shared" si="9"/>
        <v>0</v>
      </c>
      <c r="L85" s="243">
        <f t="shared" si="8"/>
        <v>1830</v>
      </c>
      <c r="M85" s="243" t="e">
        <f t="shared" si="8"/>
        <v>#REF!</v>
      </c>
      <c r="N85" s="243" t="e">
        <f t="shared" si="10"/>
        <v>#REF!</v>
      </c>
    </row>
    <row r="86" spans="1:14" ht="33" customHeight="1">
      <c r="A86" s="216"/>
      <c r="B86" s="275" t="s">
        <v>589</v>
      </c>
      <c r="C86" s="276">
        <f>C7+C50+C75+C84+C67+C57+C16</f>
        <v>931588</v>
      </c>
      <c r="D86" s="276" t="e">
        <f>D7+D50+D75+D84+D67+D57+D16</f>
        <v>#REF!</v>
      </c>
      <c r="E86" s="243" t="e">
        <f>D86-C86</f>
        <v>#REF!</v>
      </c>
      <c r="F86" s="243">
        <f>F7+F16+F50+F57+F67+F75+F84</f>
        <v>1094175</v>
      </c>
      <c r="G86" s="243" t="e">
        <f>G7+G16+G50+G57+G67+G75+G84</f>
        <v>#REF!</v>
      </c>
      <c r="H86" s="243" t="e">
        <f>SUM(H70)</f>
        <v>#REF!</v>
      </c>
      <c r="I86" s="243">
        <f>I7+I16+I50+I57+I67+I75+I84</f>
        <v>1162451</v>
      </c>
      <c r="J86" s="243" t="e">
        <f>J7+J16+J50+J57+J67+J75+J84</f>
        <v>#REF!</v>
      </c>
      <c r="K86" s="202" t="e">
        <f t="shared" si="9"/>
        <v>#REF!</v>
      </c>
      <c r="L86" s="276">
        <f>L7+L50+L75+L84+L67+L57+L16</f>
        <v>3188214</v>
      </c>
      <c r="M86" s="243" t="e">
        <f t="shared" si="8"/>
        <v>#REF!</v>
      </c>
      <c r="N86" s="243" t="e">
        <f t="shared" si="10"/>
        <v>#REF!</v>
      </c>
    </row>
    <row r="87" spans="1:14" s="281" customFormat="1" ht="22.5" customHeight="1">
      <c r="A87" s="277"/>
      <c r="B87" s="278"/>
      <c r="C87" s="279"/>
      <c r="D87" s="280"/>
      <c r="E87" s="280"/>
      <c r="F87" s="280"/>
      <c r="I87" s="280"/>
    </row>
    <row r="88" spans="1:14" ht="15.75" customHeight="1">
      <c r="A88" s="277"/>
      <c r="B88" s="282" t="s">
        <v>590</v>
      </c>
      <c r="C88" s="279"/>
      <c r="D88" s="283"/>
      <c r="E88" s="281"/>
      <c r="F88" s="279"/>
      <c r="G88" s="281"/>
      <c r="H88" s="281"/>
      <c r="I88" s="279"/>
      <c r="J88" s="281"/>
      <c r="K88" s="281"/>
    </row>
    <row r="89" spans="1:14" s="287" customFormat="1" ht="15.75" customHeight="1">
      <c r="A89" s="277"/>
      <c r="B89" s="253" t="s">
        <v>591</v>
      </c>
      <c r="C89" s="203">
        <v>757426</v>
      </c>
      <c r="D89" s="284"/>
      <c r="E89" s="253"/>
      <c r="F89" s="203">
        <v>1042656</v>
      </c>
      <c r="G89" s="253"/>
      <c r="H89" s="253"/>
      <c r="I89" s="203">
        <v>1084116</v>
      </c>
      <c r="J89" s="253"/>
      <c r="K89" s="253"/>
      <c r="L89" s="203">
        <f>C89+F89+I89</f>
        <v>2884198</v>
      </c>
      <c r="M89" s="285"/>
      <c r="N89" s="286"/>
    </row>
    <row r="90" spans="1:14" s="287" customFormat="1" ht="17.25" customHeight="1">
      <c r="A90" s="277"/>
      <c r="B90" s="253" t="s">
        <v>592</v>
      </c>
      <c r="C90" s="203">
        <v>249100</v>
      </c>
      <c r="D90" s="284"/>
      <c r="E90" s="253"/>
      <c r="F90" s="203">
        <v>98400</v>
      </c>
      <c r="G90" s="253"/>
      <c r="H90" s="253"/>
      <c r="I90" s="203">
        <v>152800</v>
      </c>
      <c r="J90" s="253"/>
      <c r="K90" s="253"/>
      <c r="L90" s="203">
        <f>C90+F90+I90</f>
        <v>500300</v>
      </c>
      <c r="M90" s="285"/>
      <c r="N90" s="286"/>
    </row>
    <row r="91" spans="1:14" s="293" customFormat="1" ht="17.25" customHeight="1">
      <c r="A91" s="277"/>
      <c r="B91" s="288" t="s">
        <v>593</v>
      </c>
      <c r="C91" s="276">
        <f>C89+C90</f>
        <v>1006526</v>
      </c>
      <c r="D91" s="289"/>
      <c r="E91" s="290"/>
      <c r="F91" s="276">
        <f>F89+F90</f>
        <v>1141056</v>
      </c>
      <c r="G91" s="290"/>
      <c r="H91" s="290"/>
      <c r="I91" s="276">
        <f>I89+I90</f>
        <v>1236916</v>
      </c>
      <c r="J91" s="290"/>
      <c r="K91" s="290"/>
      <c r="L91" s="276">
        <f>C91+F91+I91</f>
        <v>3384498</v>
      </c>
      <c r="M91" s="291"/>
      <c r="N91" s="292"/>
    </row>
    <row r="92" spans="1:14" ht="17.25" hidden="1" customHeight="1">
      <c r="C92" s="295">
        <f>C86-C91</f>
        <v>-74938</v>
      </c>
      <c r="F92" s="295">
        <f>F86-F91</f>
        <v>-46881</v>
      </c>
      <c r="I92" s="295">
        <f>I86-I91</f>
        <v>-74465</v>
      </c>
    </row>
    <row r="93" spans="1:14" s="287" customFormat="1">
      <c r="A93" s="297"/>
      <c r="B93" s="214"/>
      <c r="C93" s="298"/>
      <c r="D93" s="284"/>
      <c r="E93" s="253"/>
      <c r="F93" s="253"/>
      <c r="G93" s="253"/>
      <c r="H93" s="253"/>
      <c r="I93" s="253"/>
      <c r="J93" s="253"/>
      <c r="K93" s="253"/>
      <c r="L93" s="253"/>
      <c r="M93" s="285"/>
      <c r="N93" s="286"/>
    </row>
    <row r="94" spans="1:14">
      <c r="B94" s="264" t="s">
        <v>594</v>
      </c>
      <c r="C94" s="276">
        <f>C91-C86</f>
        <v>74938</v>
      </c>
      <c r="D94" s="276" t="e">
        <f>C91-D86</f>
        <v>#REF!</v>
      </c>
      <c r="E94" s="299"/>
      <c r="F94" s="276">
        <f>F91-F86</f>
        <v>46881</v>
      </c>
      <c r="G94" s="276" t="e">
        <f>F91-G86</f>
        <v>#REF!</v>
      </c>
      <c r="H94" s="299"/>
      <c r="I94" s="276">
        <f>I91-I86</f>
        <v>74465</v>
      </c>
      <c r="J94" s="276" t="e">
        <f>I91-J86</f>
        <v>#REF!</v>
      </c>
      <c r="K94" s="264"/>
      <c r="L94" s="276">
        <f>L91-L86</f>
        <v>196284</v>
      </c>
      <c r="M94" s="300" t="e">
        <f>L91-M86</f>
        <v>#REF!</v>
      </c>
      <c r="N94" s="301"/>
    </row>
    <row r="95" spans="1:14">
      <c r="D95" s="295"/>
    </row>
    <row r="104" spans="2:2">
      <c r="B104" s="230"/>
    </row>
    <row r="105" spans="2:2">
      <c r="B105" s="230"/>
    </row>
    <row r="106" spans="2:2">
      <c r="B106" s="230"/>
    </row>
    <row r="107" spans="2:2">
      <c r="B107" s="230"/>
    </row>
    <row r="108" spans="2:2">
      <c r="B108" s="230"/>
    </row>
    <row r="109" spans="2:2">
      <c r="B109" s="230"/>
    </row>
    <row r="110" spans="2:2">
      <c r="B110" s="230"/>
    </row>
    <row r="111" spans="2:2">
      <c r="B111" s="230"/>
    </row>
    <row r="112" spans="2:2">
      <c r="B112" s="230"/>
    </row>
    <row r="113" spans="2:2">
      <c r="B113" s="230"/>
    </row>
    <row r="114" spans="2:2">
      <c r="B114" s="230"/>
    </row>
    <row r="115" spans="2:2">
      <c r="B115" s="230"/>
    </row>
    <row r="116" spans="2:2">
      <c r="B116" s="230"/>
    </row>
    <row r="117" spans="2:2">
      <c r="B117" s="230"/>
    </row>
    <row r="118" spans="2:2">
      <c r="B118" s="230"/>
    </row>
    <row r="119" spans="2:2">
      <c r="B119" s="230"/>
    </row>
    <row r="120" spans="2:2">
      <c r="B120" s="230"/>
    </row>
    <row r="121" spans="2:2">
      <c r="B121" s="230"/>
    </row>
    <row r="122" spans="2:2">
      <c r="B122" s="230"/>
    </row>
    <row r="123" spans="2:2">
      <c r="B123" s="230"/>
    </row>
    <row r="124" spans="2:2">
      <c r="B124" s="230"/>
    </row>
    <row r="125" spans="2:2">
      <c r="B125" s="230"/>
    </row>
    <row r="126" spans="2:2">
      <c r="B126" s="230"/>
    </row>
    <row r="127" spans="2:2">
      <c r="B127" s="230"/>
    </row>
    <row r="128" spans="2:2">
      <c r="B128" s="230"/>
    </row>
    <row r="129" spans="2:2">
      <c r="B129" s="230"/>
    </row>
    <row r="130" spans="2:2">
      <c r="B130" s="230"/>
    </row>
    <row r="131" spans="2:2">
      <c r="B131" s="230"/>
    </row>
    <row r="132" spans="2:2">
      <c r="B132" s="230"/>
    </row>
    <row r="133" spans="2:2">
      <c r="B133" s="230"/>
    </row>
    <row r="134" spans="2:2">
      <c r="B134" s="230"/>
    </row>
    <row r="135" spans="2:2">
      <c r="B135" s="230"/>
    </row>
    <row r="136" spans="2:2">
      <c r="B136" s="230"/>
    </row>
    <row r="137" spans="2:2">
      <c r="B137" s="230"/>
    </row>
    <row r="138" spans="2:2">
      <c r="B138" s="230"/>
    </row>
    <row r="139" spans="2:2">
      <c r="B139" s="230"/>
    </row>
    <row r="140" spans="2:2">
      <c r="B140" s="230"/>
    </row>
    <row r="160" spans="3:3">
      <c r="C160" s="241"/>
    </row>
    <row r="169" spans="3:3">
      <c r="C169" s="241"/>
    </row>
  </sheetData>
  <mergeCells count="7">
    <mergeCell ref="N4:N5"/>
    <mergeCell ref="B2:J2"/>
    <mergeCell ref="C4:E4"/>
    <mergeCell ref="F4:H4"/>
    <mergeCell ref="I4:K4"/>
    <mergeCell ref="L4:L5"/>
    <mergeCell ref="M4:M5"/>
  </mergeCells>
  <pageMargins left="0.19685039370078741" right="0.15748031496062992" top="0.74803149606299213" bottom="0.74803149606299213" header="0.31496062992125984" footer="0.31496062992125984"/>
  <pageSetup paperSize="9" scale="8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C00000"/>
  </sheetPr>
  <dimension ref="A1:K100"/>
  <sheetViews>
    <sheetView workbookViewId="0">
      <pane xSplit="2" ySplit="5" topLeftCell="C9" activePane="bottomRight" state="frozen"/>
      <selection pane="topRight" activeCell="C1" sqref="C1"/>
      <selection pane="bottomLeft" activeCell="A5" sqref="A5"/>
      <selection pane="bottomRight" activeCell="D14" sqref="D14"/>
    </sheetView>
  </sheetViews>
  <sheetFormatPr defaultColWidth="9.109375" defaultRowHeight="12"/>
  <cols>
    <col min="1" max="1" width="5" style="408" customWidth="1"/>
    <col min="2" max="2" width="44.33203125" style="408" customWidth="1"/>
    <col min="3" max="3" width="15.6640625" style="408" customWidth="1"/>
    <col min="4" max="4" width="13.33203125" style="504" customWidth="1"/>
    <col min="5" max="5" width="14.88671875" style="505" customWidth="1"/>
    <col min="6" max="6" width="10.5546875" style="505" customWidth="1"/>
    <col min="7" max="7" width="0.109375" style="454" hidden="1" customWidth="1"/>
    <col min="8" max="8" width="14.33203125" style="408" hidden="1" customWidth="1"/>
    <col min="9" max="9" width="17.21875" style="408" hidden="1" customWidth="1"/>
    <col min="10" max="16384" width="9.109375" style="408"/>
  </cols>
  <sheetData>
    <row r="1" spans="1:11" ht="15.75" customHeight="1">
      <c r="A1" s="455"/>
      <c r="B1" s="576" t="s">
        <v>638</v>
      </c>
      <c r="C1" s="576"/>
      <c r="D1" s="576"/>
      <c r="E1" s="576"/>
      <c r="F1" s="576"/>
      <c r="G1" s="576"/>
      <c r="H1" s="576"/>
      <c r="I1" s="576"/>
    </row>
    <row r="2" spans="1:11" ht="15.75" customHeight="1">
      <c r="A2" s="576" t="s">
        <v>754</v>
      </c>
      <c r="B2" s="576"/>
      <c r="C2" s="576"/>
      <c r="D2" s="576"/>
      <c r="E2" s="576"/>
      <c r="F2" s="576"/>
      <c r="G2" s="576"/>
      <c r="H2" s="576"/>
      <c r="I2" s="576"/>
    </row>
    <row r="3" spans="1:11" ht="15.75" customHeight="1">
      <c r="A3" s="521"/>
      <c r="B3" s="521"/>
      <c r="C3" s="521"/>
      <c r="D3" s="521"/>
      <c r="E3" s="521"/>
      <c r="F3" s="521"/>
      <c r="G3" s="521"/>
      <c r="H3" s="521"/>
      <c r="I3" s="521"/>
    </row>
    <row r="4" spans="1:11" ht="15.75" customHeight="1">
      <c r="A4" s="521"/>
      <c r="B4" s="521" t="s">
        <v>800</v>
      </c>
      <c r="C4" s="527"/>
      <c r="D4" s="521"/>
      <c r="E4" s="577" t="s">
        <v>901</v>
      </c>
      <c r="F4" s="577"/>
      <c r="G4" s="577"/>
      <c r="H4" s="577"/>
      <c r="I4" s="521"/>
    </row>
    <row r="5" spans="1:11" ht="30" customHeight="1">
      <c r="A5" s="457"/>
      <c r="B5" s="447" t="s">
        <v>84</v>
      </c>
      <c r="C5" s="447" t="s">
        <v>639</v>
      </c>
      <c r="D5" s="447" t="s">
        <v>640</v>
      </c>
      <c r="E5" s="447" t="s">
        <v>641</v>
      </c>
      <c r="F5" s="447" t="s">
        <v>828</v>
      </c>
      <c r="G5" s="447" t="s">
        <v>636</v>
      </c>
      <c r="H5" s="447" t="s">
        <v>643</v>
      </c>
      <c r="I5" s="447" t="s">
        <v>652</v>
      </c>
    </row>
    <row r="6" spans="1:11" ht="17.399999999999999" customHeight="1">
      <c r="A6" s="457"/>
      <c r="B6" s="458" t="s">
        <v>821</v>
      </c>
      <c r="C6" s="448"/>
      <c r="D6" s="444"/>
      <c r="E6" s="444"/>
      <c r="F6" s="444"/>
      <c r="G6" s="448"/>
      <c r="H6" s="448"/>
      <c r="I6" s="447"/>
    </row>
    <row r="7" spans="1:11" s="463" customFormat="1" ht="24.6" customHeight="1">
      <c r="A7" s="436" t="s">
        <v>645</v>
      </c>
      <c r="B7" s="459" t="s">
        <v>220</v>
      </c>
      <c r="C7" s="444">
        <f>SUM(C8:C16)</f>
        <v>440139</v>
      </c>
      <c r="D7" s="444">
        <f>SUM(D8:D16)</f>
        <v>106195</v>
      </c>
      <c r="E7" s="444">
        <f>D7-C7</f>
        <v>-333944</v>
      </c>
      <c r="F7" s="445">
        <f t="shared" ref="F7:F12" si="0">D7/C7*100</f>
        <v>24.127605142920757</v>
      </c>
      <c r="G7" s="430" t="s">
        <v>890</v>
      </c>
      <c r="H7" s="461"/>
      <c r="I7" s="520" t="s">
        <v>653</v>
      </c>
      <c r="K7" s="529"/>
    </row>
    <row r="8" spans="1:11" s="463" customFormat="1" ht="25.2" customHeight="1">
      <c r="A8" s="436" t="s">
        <v>729</v>
      </c>
      <c r="B8" s="429" t="s">
        <v>819</v>
      </c>
      <c r="C8" s="522">
        <v>51064</v>
      </c>
      <c r="D8" s="519">
        <v>5002</v>
      </c>
      <c r="E8" s="522">
        <f>D8-C8</f>
        <v>-46062</v>
      </c>
      <c r="F8" s="443">
        <f t="shared" si="0"/>
        <v>9.795550681497728</v>
      </c>
      <c r="G8" s="430" t="s">
        <v>829</v>
      </c>
      <c r="H8" s="578" t="s">
        <v>627</v>
      </c>
      <c r="I8" s="520"/>
    </row>
    <row r="9" spans="1:11" s="463" customFormat="1" ht="24.6" customHeight="1">
      <c r="A9" s="436" t="s">
        <v>730</v>
      </c>
      <c r="B9" s="429" t="s">
        <v>739</v>
      </c>
      <c r="C9" s="522">
        <v>35404</v>
      </c>
      <c r="D9" s="522"/>
      <c r="E9" s="522">
        <f t="shared" ref="E9:E12" si="1">D9-C9</f>
        <v>-35404</v>
      </c>
      <c r="F9" s="443">
        <f t="shared" si="0"/>
        <v>0</v>
      </c>
      <c r="G9" s="430" t="s">
        <v>749</v>
      </c>
      <c r="H9" s="578"/>
      <c r="I9" s="520"/>
    </row>
    <row r="10" spans="1:11" s="463" customFormat="1" ht="24.6" customHeight="1">
      <c r="A10" s="436" t="s">
        <v>731</v>
      </c>
      <c r="B10" s="429" t="s">
        <v>740</v>
      </c>
      <c r="C10" s="522">
        <v>31776</v>
      </c>
      <c r="D10" s="522">
        <v>2833</v>
      </c>
      <c r="E10" s="522">
        <f t="shared" si="1"/>
        <v>-28943</v>
      </c>
      <c r="F10" s="443">
        <f t="shared" si="0"/>
        <v>8.9155337361530709</v>
      </c>
      <c r="G10" s="430" t="s">
        <v>830</v>
      </c>
      <c r="H10" s="578"/>
      <c r="I10" s="520"/>
    </row>
    <row r="11" spans="1:11" s="463" customFormat="1" ht="26.4" customHeight="1">
      <c r="A11" s="436" t="s">
        <v>732</v>
      </c>
      <c r="B11" s="429" t="s">
        <v>741</v>
      </c>
      <c r="C11" s="522">
        <v>58441</v>
      </c>
      <c r="D11" s="522">
        <v>15097</v>
      </c>
      <c r="E11" s="522">
        <f>36270-C11</f>
        <v>-22171</v>
      </c>
      <c r="F11" s="443">
        <f>36270/C11*100</f>
        <v>62.062593042555733</v>
      </c>
      <c r="G11" s="430" t="s">
        <v>861</v>
      </c>
      <c r="H11" s="578"/>
      <c r="I11" s="520"/>
    </row>
    <row r="12" spans="1:11" s="463" customFormat="1" ht="24.6" customHeight="1">
      <c r="A12" s="436" t="s">
        <v>733</v>
      </c>
      <c r="B12" s="429" t="s">
        <v>742</v>
      </c>
      <c r="C12" s="522">
        <v>60207</v>
      </c>
      <c r="D12" s="518"/>
      <c r="E12" s="522">
        <f t="shared" si="1"/>
        <v>-60207</v>
      </c>
      <c r="F12" s="443">
        <f t="shared" si="0"/>
        <v>0</v>
      </c>
      <c r="G12" s="430" t="s">
        <v>866</v>
      </c>
      <c r="H12" s="578"/>
      <c r="I12" s="520"/>
    </row>
    <row r="13" spans="1:11" s="463" customFormat="1" ht="25.8" customHeight="1">
      <c r="A13" s="436" t="s">
        <v>734</v>
      </c>
      <c r="B13" s="429" t="s">
        <v>743</v>
      </c>
      <c r="C13" s="522">
        <v>84280</v>
      </c>
      <c r="D13" s="522">
        <v>39497</v>
      </c>
      <c r="E13" s="522">
        <f>70286-C13</f>
        <v>-13994</v>
      </c>
      <c r="F13" s="443">
        <f>70286/C13*100</f>
        <v>83.395823445657342</v>
      </c>
      <c r="G13" s="430" t="s">
        <v>862</v>
      </c>
      <c r="H13" s="578"/>
      <c r="I13" s="520"/>
    </row>
    <row r="14" spans="1:11" s="463" customFormat="1" ht="26.4" customHeight="1">
      <c r="A14" s="436" t="s">
        <v>735</v>
      </c>
      <c r="B14" s="429" t="s">
        <v>744</v>
      </c>
      <c r="C14" s="522">
        <v>118967</v>
      </c>
      <c r="D14" s="522">
        <f>12563+4050+25048</f>
        <v>41661</v>
      </c>
      <c r="E14" s="522">
        <f>51143-C14</f>
        <v>-67824</v>
      </c>
      <c r="F14" s="443">
        <f>51143/C14*100</f>
        <v>42.989232308119057</v>
      </c>
      <c r="G14" s="430" t="s">
        <v>891</v>
      </c>
      <c r="H14" s="578"/>
      <c r="I14" s="520"/>
    </row>
    <row r="15" spans="1:11" s="463" customFormat="1" ht="34.799999999999997" customHeight="1">
      <c r="A15" s="436" t="s">
        <v>736</v>
      </c>
      <c r="B15" s="430" t="s">
        <v>745</v>
      </c>
      <c r="C15" s="522" t="s">
        <v>560</v>
      </c>
      <c r="D15" s="522">
        <v>688</v>
      </c>
      <c r="E15" s="444"/>
      <c r="F15" s="445"/>
      <c r="G15" s="430" t="s">
        <v>831</v>
      </c>
      <c r="H15" s="522" t="s">
        <v>629</v>
      </c>
      <c r="I15" s="520"/>
    </row>
    <row r="16" spans="1:11" s="463" customFormat="1" ht="23.4" customHeight="1">
      <c r="A16" s="436" t="s">
        <v>737</v>
      </c>
      <c r="B16" s="430" t="s">
        <v>834</v>
      </c>
      <c r="C16" s="522" t="s">
        <v>560</v>
      </c>
      <c r="D16" s="522">
        <v>1417</v>
      </c>
      <c r="E16" s="444"/>
      <c r="F16" s="445"/>
      <c r="G16" s="430" t="s">
        <v>832</v>
      </c>
      <c r="H16" s="522" t="s">
        <v>627</v>
      </c>
      <c r="I16" s="520"/>
    </row>
    <row r="17" spans="1:9" s="465" customFormat="1" ht="38.25" customHeight="1">
      <c r="A17" s="436" t="s">
        <v>646</v>
      </c>
      <c r="B17" s="459" t="s">
        <v>402</v>
      </c>
      <c r="C17" s="448">
        <f>SUM(C18:C36)</f>
        <v>448528</v>
      </c>
      <c r="D17" s="444">
        <f>SUM(D18:D36)</f>
        <v>43945</v>
      </c>
      <c r="E17" s="444"/>
      <c r="F17" s="445"/>
      <c r="G17" s="464"/>
      <c r="H17" s="578" t="s">
        <v>627</v>
      </c>
      <c r="I17" s="520" t="s">
        <v>653</v>
      </c>
    </row>
    <row r="18" spans="1:9" s="465" customFormat="1" ht="24" customHeight="1">
      <c r="A18" s="432" t="s">
        <v>186</v>
      </c>
      <c r="B18" s="433" t="s">
        <v>857</v>
      </c>
      <c r="C18" s="271">
        <v>22956</v>
      </c>
      <c r="D18" s="466"/>
      <c r="E18" s="522">
        <f t="shared" ref="E18" si="2">D18-C18</f>
        <v>-22956</v>
      </c>
      <c r="F18" s="443">
        <f t="shared" ref="F18" si="3">D18/C18*100</f>
        <v>0</v>
      </c>
      <c r="G18" s="430" t="s">
        <v>847</v>
      </c>
      <c r="H18" s="578"/>
      <c r="I18" s="520"/>
    </row>
    <row r="19" spans="1:9" s="465" customFormat="1" ht="25.8" customHeight="1">
      <c r="A19" s="434" t="s">
        <v>187</v>
      </c>
      <c r="B19" s="435" t="s">
        <v>806</v>
      </c>
      <c r="C19" s="437">
        <v>7101</v>
      </c>
      <c r="D19" s="522"/>
      <c r="E19" s="522">
        <f>121-C19</f>
        <v>-6980</v>
      </c>
      <c r="F19" s="443">
        <f>121/C19*100</f>
        <v>1.7039853541754684</v>
      </c>
      <c r="G19" s="430" t="s">
        <v>846</v>
      </c>
      <c r="H19" s="578" t="s">
        <v>627</v>
      </c>
      <c r="I19" s="520"/>
    </row>
    <row r="20" spans="1:9" s="465" customFormat="1" ht="22.8" customHeight="1">
      <c r="A20" s="434" t="s">
        <v>221</v>
      </c>
      <c r="B20" s="435" t="s">
        <v>807</v>
      </c>
      <c r="C20" s="437">
        <v>14642</v>
      </c>
      <c r="D20" s="467"/>
      <c r="E20" s="522">
        <f t="shared" ref="E20:E23" si="4">D20-C20</f>
        <v>-14642</v>
      </c>
      <c r="F20" s="443">
        <f t="shared" ref="F20:F23" si="5">D20/C20*100</f>
        <v>0</v>
      </c>
      <c r="G20" s="431" t="s">
        <v>845</v>
      </c>
      <c r="H20" s="578"/>
      <c r="I20" s="520"/>
    </row>
    <row r="21" spans="1:9" s="465" customFormat="1" ht="25.2" customHeight="1">
      <c r="A21" s="434" t="s">
        <v>222</v>
      </c>
      <c r="B21" s="386" t="s">
        <v>808</v>
      </c>
      <c r="C21" s="437">
        <v>23591</v>
      </c>
      <c r="D21" s="467"/>
      <c r="E21" s="522">
        <f t="shared" si="4"/>
        <v>-23591</v>
      </c>
      <c r="F21" s="443">
        <f t="shared" si="5"/>
        <v>0</v>
      </c>
      <c r="G21" s="430" t="s">
        <v>844</v>
      </c>
      <c r="H21" s="578"/>
      <c r="I21" s="520"/>
    </row>
    <row r="22" spans="1:9" s="465" customFormat="1" ht="24" customHeight="1">
      <c r="A22" s="434" t="s">
        <v>223</v>
      </c>
      <c r="B22" s="386" t="s">
        <v>809</v>
      </c>
      <c r="C22" s="437">
        <v>31842</v>
      </c>
      <c r="D22" s="467"/>
      <c r="E22" s="522">
        <f t="shared" si="4"/>
        <v>-31842</v>
      </c>
      <c r="F22" s="443">
        <f t="shared" si="5"/>
        <v>0</v>
      </c>
      <c r="G22" s="430" t="s">
        <v>875</v>
      </c>
      <c r="H22" s="578"/>
      <c r="I22" s="520"/>
    </row>
    <row r="23" spans="1:9" s="465" customFormat="1" ht="22.2" customHeight="1">
      <c r="A23" s="434" t="s">
        <v>224</v>
      </c>
      <c r="B23" s="386" t="s">
        <v>810</v>
      </c>
      <c r="C23" s="437">
        <v>29457</v>
      </c>
      <c r="D23" s="467"/>
      <c r="E23" s="522">
        <f t="shared" si="4"/>
        <v>-29457</v>
      </c>
      <c r="F23" s="443">
        <f t="shared" si="5"/>
        <v>0</v>
      </c>
      <c r="G23" s="430" t="s">
        <v>843</v>
      </c>
      <c r="H23" s="578"/>
      <c r="I23" s="520"/>
    </row>
    <row r="24" spans="1:9" s="465" customFormat="1" ht="26.4" customHeight="1">
      <c r="A24" s="434" t="s">
        <v>225</v>
      </c>
      <c r="B24" s="386" t="s">
        <v>801</v>
      </c>
      <c r="C24" s="437">
        <v>171352</v>
      </c>
      <c r="D24" s="522">
        <f>12309</f>
        <v>12309</v>
      </c>
      <c r="E24" s="522">
        <f>15239-C24</f>
        <v>-156113</v>
      </c>
      <c r="F24" s="443">
        <f>15239/C24*100</f>
        <v>8.8933890471077088</v>
      </c>
      <c r="G24" s="430" t="s">
        <v>842</v>
      </c>
      <c r="H24" s="578"/>
      <c r="I24" s="520"/>
    </row>
    <row r="25" spans="1:9" s="465" customFormat="1" ht="24" customHeight="1">
      <c r="A25" s="434" t="s">
        <v>226</v>
      </c>
      <c r="B25" s="428" t="s">
        <v>804</v>
      </c>
      <c r="C25" s="440">
        <v>846</v>
      </c>
      <c r="D25" s="522">
        <f>1204</f>
        <v>1204</v>
      </c>
      <c r="E25" s="522">
        <f>1147-C25</f>
        <v>301</v>
      </c>
      <c r="F25" s="443">
        <f>1147/C25*100</f>
        <v>135.57919621749409</v>
      </c>
      <c r="G25" s="430" t="s">
        <v>884</v>
      </c>
      <c r="H25" s="578"/>
      <c r="I25" s="520"/>
    </row>
    <row r="26" spans="1:9" s="465" customFormat="1" ht="24" customHeight="1">
      <c r="A26" s="434" t="s">
        <v>227</v>
      </c>
      <c r="B26" s="428" t="s">
        <v>805</v>
      </c>
      <c r="C26" s="440">
        <v>332</v>
      </c>
      <c r="D26" s="522">
        <f>1179</f>
        <v>1179</v>
      </c>
      <c r="E26" s="522">
        <f>1115-C26</f>
        <v>783</v>
      </c>
      <c r="F26" s="443">
        <f>1115/C26*100</f>
        <v>335.84337349397589</v>
      </c>
      <c r="G26" s="430" t="s">
        <v>885</v>
      </c>
      <c r="H26" s="578"/>
      <c r="I26" s="520"/>
    </row>
    <row r="27" spans="1:9" s="465" customFormat="1" ht="24.6" customHeight="1">
      <c r="A27" s="434" t="s">
        <v>228</v>
      </c>
      <c r="B27" s="387" t="s">
        <v>811</v>
      </c>
      <c r="C27" s="437">
        <v>14085</v>
      </c>
      <c r="D27" s="522"/>
      <c r="E27" s="522">
        <f t="shared" ref="E27:E30" si="6">D27-C27</f>
        <v>-14085</v>
      </c>
      <c r="F27" s="443">
        <f t="shared" ref="F27:F30" si="7">D27/C27*100</f>
        <v>0</v>
      </c>
      <c r="G27" s="430" t="s">
        <v>863</v>
      </c>
      <c r="H27" s="578"/>
      <c r="I27" s="520"/>
    </row>
    <row r="28" spans="1:9" s="465" customFormat="1" ht="24.6" customHeight="1">
      <c r="A28" s="434" t="s">
        <v>229</v>
      </c>
      <c r="B28" s="386" t="s">
        <v>812</v>
      </c>
      <c r="C28" s="437">
        <v>4330</v>
      </c>
      <c r="D28" s="522"/>
      <c r="E28" s="522">
        <f t="shared" si="6"/>
        <v>-4330</v>
      </c>
      <c r="F28" s="443">
        <f t="shared" si="7"/>
        <v>0</v>
      </c>
      <c r="G28" s="430" t="s">
        <v>889</v>
      </c>
      <c r="H28" s="578"/>
      <c r="I28" s="520"/>
    </row>
    <row r="29" spans="1:9" s="465" customFormat="1" ht="24" customHeight="1">
      <c r="A29" s="434" t="s">
        <v>230</v>
      </c>
      <c r="B29" s="428" t="s">
        <v>816</v>
      </c>
      <c r="C29" s="440">
        <v>28946</v>
      </c>
      <c r="D29" s="522"/>
      <c r="E29" s="522">
        <f t="shared" si="6"/>
        <v>-28946</v>
      </c>
      <c r="F29" s="443">
        <f t="shared" si="7"/>
        <v>0</v>
      </c>
      <c r="G29" s="430" t="s">
        <v>888</v>
      </c>
      <c r="H29" s="578"/>
      <c r="I29" s="520"/>
    </row>
    <row r="30" spans="1:9" s="465" customFormat="1" ht="17.399999999999999" customHeight="1">
      <c r="A30" s="434" t="s">
        <v>231</v>
      </c>
      <c r="B30" s="386" t="s">
        <v>841</v>
      </c>
      <c r="C30" s="437">
        <v>1806</v>
      </c>
      <c r="D30" s="522"/>
      <c r="E30" s="522">
        <f t="shared" si="6"/>
        <v>-1806</v>
      </c>
      <c r="F30" s="443">
        <f t="shared" si="7"/>
        <v>0</v>
      </c>
      <c r="G30" s="430" t="s">
        <v>851</v>
      </c>
      <c r="H30" s="578"/>
      <c r="I30" s="520"/>
    </row>
    <row r="31" spans="1:9" s="465" customFormat="1" ht="24.6" customHeight="1">
      <c r="A31" s="434" t="s">
        <v>232</v>
      </c>
      <c r="B31" s="427" t="s">
        <v>802</v>
      </c>
      <c r="C31" s="438">
        <v>3939</v>
      </c>
      <c r="D31" s="522">
        <f>4912</f>
        <v>4912</v>
      </c>
      <c r="E31" s="522">
        <f>4690-C31</f>
        <v>751</v>
      </c>
      <c r="F31" s="443">
        <f>4690/C31*100</f>
        <v>119.06575272911905</v>
      </c>
      <c r="G31" s="430" t="s">
        <v>886</v>
      </c>
      <c r="H31" s="578"/>
      <c r="I31" s="520"/>
    </row>
    <row r="32" spans="1:9" s="465" customFormat="1" ht="25.2" customHeight="1">
      <c r="A32" s="434" t="s">
        <v>233</v>
      </c>
      <c r="B32" s="427" t="s">
        <v>803</v>
      </c>
      <c r="C32" s="438">
        <v>24618</v>
      </c>
      <c r="D32" s="522">
        <f>24341</f>
        <v>24341</v>
      </c>
      <c r="E32" s="522">
        <f>23328-C32</f>
        <v>-1290</v>
      </c>
      <c r="F32" s="443">
        <f>23328/C32*100</f>
        <v>94.759931757250797</v>
      </c>
      <c r="G32" s="430" t="s">
        <v>887</v>
      </c>
      <c r="H32" s="578" t="s">
        <v>627</v>
      </c>
      <c r="I32" s="520"/>
    </row>
    <row r="33" spans="1:9" s="465" customFormat="1" ht="24" customHeight="1">
      <c r="A33" s="434" t="s">
        <v>234</v>
      </c>
      <c r="B33" s="427" t="s">
        <v>813</v>
      </c>
      <c r="C33" s="271">
        <v>7789</v>
      </c>
      <c r="D33" s="522"/>
      <c r="E33" s="522">
        <f>133-C33</f>
        <v>-7656</v>
      </c>
      <c r="F33" s="443">
        <f>133/C33*100</f>
        <v>1.7075362690974452</v>
      </c>
      <c r="G33" s="430" t="s">
        <v>853</v>
      </c>
      <c r="H33" s="578"/>
      <c r="I33" s="520"/>
    </row>
    <row r="34" spans="1:9" s="465" customFormat="1" ht="24" customHeight="1">
      <c r="A34" s="434" t="s">
        <v>235</v>
      </c>
      <c r="B34" s="428" t="s">
        <v>817</v>
      </c>
      <c r="C34" s="440">
        <v>3103</v>
      </c>
      <c r="D34" s="522"/>
      <c r="E34" s="522">
        <f>53-C34</f>
        <v>-3050</v>
      </c>
      <c r="F34" s="443">
        <f>53/C34*100</f>
        <v>1.7080244924266839</v>
      </c>
      <c r="G34" s="430" t="s">
        <v>854</v>
      </c>
      <c r="H34" s="578"/>
      <c r="I34" s="520"/>
    </row>
    <row r="35" spans="1:9" s="465" customFormat="1" ht="24" customHeight="1">
      <c r="A35" s="434" t="s">
        <v>236</v>
      </c>
      <c r="B35" s="435" t="s">
        <v>814</v>
      </c>
      <c r="C35" s="439">
        <v>31308</v>
      </c>
      <c r="D35" s="522"/>
      <c r="E35" s="522">
        <f t="shared" ref="E35:E36" si="8">D35-C35</f>
        <v>-31308</v>
      </c>
      <c r="F35" s="443">
        <f t="shared" ref="F35:F36" si="9">D35/C35*100</f>
        <v>0</v>
      </c>
      <c r="G35" s="430" t="s">
        <v>855</v>
      </c>
      <c r="H35" s="578"/>
      <c r="I35" s="520"/>
    </row>
    <row r="36" spans="1:9" s="465" customFormat="1" ht="24.6" customHeight="1">
      <c r="A36" s="434" t="s">
        <v>237</v>
      </c>
      <c r="B36" s="427" t="s">
        <v>815</v>
      </c>
      <c r="C36" s="438">
        <v>26485</v>
      </c>
      <c r="D36" s="522"/>
      <c r="E36" s="522">
        <f t="shared" si="8"/>
        <v>-26485</v>
      </c>
      <c r="F36" s="443">
        <f t="shared" si="9"/>
        <v>0</v>
      </c>
      <c r="G36" s="430" t="s">
        <v>856</v>
      </c>
      <c r="H36" s="578"/>
      <c r="I36" s="520"/>
    </row>
    <row r="37" spans="1:9" s="465" customFormat="1" ht="24.6" customHeight="1">
      <c r="A37" s="468" t="s">
        <v>648</v>
      </c>
      <c r="B37" s="469" t="s">
        <v>119</v>
      </c>
      <c r="C37" s="470">
        <f>C38+C39+C40+C41+C42</f>
        <v>22760</v>
      </c>
      <c r="D37" s="470">
        <f>SUM(D38:D49)</f>
        <v>178.99799999999999</v>
      </c>
      <c r="E37" s="470">
        <f>D37-C37</f>
        <v>-22581.002</v>
      </c>
      <c r="F37" s="470">
        <f>D37/C37*100</f>
        <v>0.78645869947275915</v>
      </c>
      <c r="G37" s="431"/>
      <c r="H37" s="520"/>
      <c r="I37" s="471"/>
    </row>
    <row r="38" spans="1:9" s="465" customFormat="1" ht="12.6" customHeight="1">
      <c r="A38" s="468" t="s">
        <v>155</v>
      </c>
      <c r="B38" s="430" t="s">
        <v>286</v>
      </c>
      <c r="C38" s="523">
        <v>3856</v>
      </c>
      <c r="D38" s="520"/>
      <c r="E38" s="522">
        <f t="shared" ref="E38:E42" si="10">D38-C38</f>
        <v>-3856</v>
      </c>
      <c r="F38" s="473">
        <f t="shared" ref="F38:F42" si="11">D38/C38*100</f>
        <v>0</v>
      </c>
      <c r="G38" s="446" t="s">
        <v>762</v>
      </c>
      <c r="H38" s="579" t="s">
        <v>628</v>
      </c>
      <c r="I38" s="580" t="s">
        <v>654</v>
      </c>
    </row>
    <row r="39" spans="1:9" s="465" customFormat="1" ht="18" customHeight="1">
      <c r="A39" s="468" t="s">
        <v>156</v>
      </c>
      <c r="B39" s="430" t="s">
        <v>288</v>
      </c>
      <c r="C39" s="523">
        <v>1069</v>
      </c>
      <c r="D39" s="390"/>
      <c r="E39" s="522">
        <f t="shared" si="10"/>
        <v>-1069</v>
      </c>
      <c r="F39" s="473">
        <f t="shared" si="11"/>
        <v>0</v>
      </c>
      <c r="G39" s="446" t="s">
        <v>867</v>
      </c>
      <c r="H39" s="579"/>
      <c r="I39" s="581"/>
    </row>
    <row r="40" spans="1:9" s="465" customFormat="1" ht="35.4" customHeight="1">
      <c r="A40" s="468" t="s">
        <v>157</v>
      </c>
      <c r="B40" s="430" t="s">
        <v>820</v>
      </c>
      <c r="C40" s="523">
        <v>14547</v>
      </c>
      <c r="D40" s="522"/>
      <c r="E40" s="473">
        <f t="shared" si="10"/>
        <v>-14547</v>
      </c>
      <c r="F40" s="473">
        <f t="shared" si="11"/>
        <v>0</v>
      </c>
      <c r="G40" s="446" t="s">
        <v>752</v>
      </c>
      <c r="H40" s="525" t="s">
        <v>630</v>
      </c>
      <c r="I40" s="581"/>
    </row>
    <row r="41" spans="1:9" s="475" customFormat="1" ht="13.8" customHeight="1">
      <c r="A41" s="468" t="s">
        <v>158</v>
      </c>
      <c r="B41" s="430" t="s">
        <v>616</v>
      </c>
      <c r="C41" s="523">
        <v>2540</v>
      </c>
      <c r="D41" s="523"/>
      <c r="E41" s="473">
        <f t="shared" si="10"/>
        <v>-2540</v>
      </c>
      <c r="F41" s="473">
        <f t="shared" si="11"/>
        <v>0</v>
      </c>
      <c r="G41" s="446" t="s">
        <v>868</v>
      </c>
      <c r="H41" s="522" t="s">
        <v>629</v>
      </c>
      <c r="I41" s="581"/>
    </row>
    <row r="42" spans="1:9" s="475" customFormat="1" ht="15.6" customHeight="1">
      <c r="A42" s="468" t="s">
        <v>159</v>
      </c>
      <c r="B42" s="430" t="s">
        <v>617</v>
      </c>
      <c r="C42" s="525">
        <f>(1496000/1000)/2</f>
        <v>748</v>
      </c>
      <c r="D42" s="522"/>
      <c r="E42" s="522">
        <f t="shared" si="10"/>
        <v>-748</v>
      </c>
      <c r="F42" s="473">
        <f t="shared" si="11"/>
        <v>0</v>
      </c>
      <c r="G42" s="446" t="s">
        <v>876</v>
      </c>
      <c r="H42" s="583" t="s">
        <v>630</v>
      </c>
      <c r="I42" s="581"/>
    </row>
    <row r="43" spans="1:9" s="475" customFormat="1" ht="13.2" customHeight="1">
      <c r="A43" s="468" t="s">
        <v>160</v>
      </c>
      <c r="B43" s="430" t="s">
        <v>664</v>
      </c>
      <c r="C43" s="523" t="s">
        <v>560</v>
      </c>
      <c r="D43" s="520"/>
      <c r="E43" s="522"/>
      <c r="F43" s="473"/>
      <c r="G43" s="446" t="s">
        <v>750</v>
      </c>
      <c r="H43" s="583"/>
      <c r="I43" s="581"/>
    </row>
    <row r="44" spans="1:9" s="475" customFormat="1" ht="15" customHeight="1">
      <c r="A44" s="468" t="s">
        <v>161</v>
      </c>
      <c r="B44" s="430" t="s">
        <v>725</v>
      </c>
      <c r="C44" s="523" t="s">
        <v>560</v>
      </c>
      <c r="D44" s="443">
        <v>178.99799999999999</v>
      </c>
      <c r="E44" s="522"/>
      <c r="F44" s="473"/>
      <c r="G44" s="446" t="s">
        <v>750</v>
      </c>
      <c r="H44" s="583"/>
      <c r="I44" s="581"/>
    </row>
    <row r="45" spans="1:9" s="475" customFormat="1" ht="17.399999999999999" customHeight="1">
      <c r="A45" s="468" t="s">
        <v>162</v>
      </c>
      <c r="B45" s="430" t="s">
        <v>665</v>
      </c>
      <c r="C45" s="523" t="s">
        <v>560</v>
      </c>
      <c r="D45" s="443"/>
      <c r="E45" s="522"/>
      <c r="F45" s="473"/>
      <c r="G45" s="446" t="s">
        <v>872</v>
      </c>
      <c r="H45" s="583"/>
      <c r="I45" s="581"/>
    </row>
    <row r="46" spans="1:9" s="475" customFormat="1" ht="22.8" customHeight="1">
      <c r="A46" s="468" t="s">
        <v>163</v>
      </c>
      <c r="B46" s="430" t="s">
        <v>726</v>
      </c>
      <c r="C46" s="523" t="s">
        <v>560</v>
      </c>
      <c r="D46" s="522"/>
      <c r="E46" s="522"/>
      <c r="F46" s="522"/>
      <c r="G46" s="446" t="s">
        <v>822</v>
      </c>
      <c r="H46" s="583"/>
      <c r="I46" s="581"/>
    </row>
    <row r="47" spans="1:9" s="475" customFormat="1" ht="22.2" customHeight="1">
      <c r="A47" s="468" t="s">
        <v>164</v>
      </c>
      <c r="B47" s="430" t="s">
        <v>767</v>
      </c>
      <c r="C47" s="523" t="s">
        <v>560</v>
      </c>
      <c r="D47" s="522"/>
      <c r="E47" s="522"/>
      <c r="F47" s="522"/>
      <c r="G47" s="446" t="s">
        <v>873</v>
      </c>
      <c r="H47" s="583"/>
      <c r="I47" s="582"/>
    </row>
    <row r="48" spans="1:9" s="475" customFormat="1" ht="25.8" customHeight="1">
      <c r="A48" s="468" t="s">
        <v>165</v>
      </c>
      <c r="B48" s="430" t="s">
        <v>728</v>
      </c>
      <c r="C48" s="523" t="s">
        <v>560</v>
      </c>
      <c r="D48" s="522"/>
      <c r="E48" s="522"/>
      <c r="F48" s="522"/>
      <c r="G48" s="446" t="s">
        <v>897</v>
      </c>
      <c r="H48" s="525" t="s">
        <v>629</v>
      </c>
      <c r="I48" s="524"/>
    </row>
    <row r="49" spans="1:9" s="475" customFormat="1" ht="21.6" customHeight="1">
      <c r="A49" s="468" t="s">
        <v>166</v>
      </c>
      <c r="B49" s="430" t="s">
        <v>708</v>
      </c>
      <c r="C49" s="523" t="s">
        <v>560</v>
      </c>
      <c r="D49" s="522"/>
      <c r="E49" s="522"/>
      <c r="F49" s="522"/>
      <c r="G49" s="446" t="s">
        <v>878</v>
      </c>
      <c r="H49" s="525" t="s">
        <v>630</v>
      </c>
      <c r="I49" s="524"/>
    </row>
    <row r="50" spans="1:9" s="465" customFormat="1">
      <c r="A50" s="468" t="s">
        <v>649</v>
      </c>
      <c r="B50" s="469" t="s">
        <v>125</v>
      </c>
      <c r="C50" s="477">
        <f>C51+C52+C53+C54+C55+C56+C57+C58</f>
        <v>9443.1</v>
      </c>
      <c r="D50" s="477">
        <f>D51+D52+D53+D54+D55+D56+D57+D58</f>
        <v>1000</v>
      </c>
      <c r="E50" s="477">
        <f>E51+E52+E53+E54+E55+E56+E57+E58</f>
        <v>-8443.1</v>
      </c>
      <c r="F50" s="470">
        <f>D50/C50*100</f>
        <v>10.589742775147991</v>
      </c>
      <c r="G50" s="446"/>
      <c r="H50" s="523"/>
      <c r="I50" s="471"/>
    </row>
    <row r="51" spans="1:9" s="465" customFormat="1" ht="48.75" customHeight="1">
      <c r="A51" s="436" t="s">
        <v>195</v>
      </c>
      <c r="B51" s="430" t="s">
        <v>610</v>
      </c>
      <c r="C51" s="525">
        <v>1140</v>
      </c>
      <c r="D51" s="525"/>
      <c r="E51" s="522">
        <f>D51-C51</f>
        <v>-1140</v>
      </c>
      <c r="F51" s="473">
        <f>D51/C51*100</f>
        <v>0</v>
      </c>
      <c r="G51" s="446" t="s">
        <v>750</v>
      </c>
      <c r="H51" s="572" t="s">
        <v>769</v>
      </c>
      <c r="I51" s="575" t="s">
        <v>653</v>
      </c>
    </row>
    <row r="52" spans="1:9" s="463" customFormat="1" ht="12.6" customHeight="1">
      <c r="A52" s="436" t="s">
        <v>196</v>
      </c>
      <c r="B52" s="430" t="s">
        <v>624</v>
      </c>
      <c r="C52" s="478">
        <v>180</v>
      </c>
      <c r="D52" s="520"/>
      <c r="E52" s="522">
        <f>D52-C52</f>
        <v>-180</v>
      </c>
      <c r="F52" s="473">
        <f t="shared" ref="F52:F78" si="12">D52/C52*100</f>
        <v>0</v>
      </c>
      <c r="G52" s="446" t="s">
        <v>750</v>
      </c>
      <c r="H52" s="573"/>
      <c r="I52" s="575"/>
    </row>
    <row r="53" spans="1:9" s="463" customFormat="1" ht="26.4" customHeight="1">
      <c r="A53" s="436" t="s">
        <v>197</v>
      </c>
      <c r="B53" s="430" t="s">
        <v>625</v>
      </c>
      <c r="C53" s="478">
        <v>60</v>
      </c>
      <c r="D53" s="520"/>
      <c r="E53" s="522">
        <f>D53-C53</f>
        <v>-60</v>
      </c>
      <c r="F53" s="473">
        <f t="shared" si="12"/>
        <v>0</v>
      </c>
      <c r="G53" s="446" t="s">
        <v>750</v>
      </c>
      <c r="H53" s="573"/>
      <c r="I53" s="575"/>
    </row>
    <row r="54" spans="1:9" s="475" customFormat="1" ht="22.2" customHeight="1">
      <c r="A54" s="436" t="s">
        <v>198</v>
      </c>
      <c r="B54" s="430" t="s">
        <v>619</v>
      </c>
      <c r="C54" s="478">
        <v>46</v>
      </c>
      <c r="D54" s="520"/>
      <c r="E54" s="522">
        <f t="shared" ref="E54:E57" si="13">D54-C54</f>
        <v>-46</v>
      </c>
      <c r="F54" s="473">
        <f t="shared" si="12"/>
        <v>0</v>
      </c>
      <c r="G54" s="446" t="s">
        <v>750</v>
      </c>
      <c r="H54" s="573"/>
      <c r="I54" s="575"/>
    </row>
    <row r="55" spans="1:9" s="475" customFormat="1" ht="38.4" customHeight="1">
      <c r="A55" s="436" t="s">
        <v>199</v>
      </c>
      <c r="B55" s="430" t="s">
        <v>644</v>
      </c>
      <c r="C55" s="525">
        <v>6924</v>
      </c>
      <c r="D55" s="525">
        <f>1000</f>
        <v>1000</v>
      </c>
      <c r="E55" s="522">
        <f t="shared" si="13"/>
        <v>-5924</v>
      </c>
      <c r="F55" s="473">
        <f t="shared" si="12"/>
        <v>14.442518775274408</v>
      </c>
      <c r="G55" s="449" t="s">
        <v>823</v>
      </c>
      <c r="H55" s="573"/>
      <c r="I55" s="575" t="s">
        <v>653</v>
      </c>
    </row>
    <row r="56" spans="1:9" s="475" customFormat="1" ht="22.95" customHeight="1">
      <c r="A56" s="436" t="s">
        <v>246</v>
      </c>
      <c r="B56" s="430" t="s">
        <v>626</v>
      </c>
      <c r="C56" s="525">
        <f>1*599</f>
        <v>599</v>
      </c>
      <c r="D56" s="520"/>
      <c r="E56" s="522">
        <f t="shared" si="13"/>
        <v>-599</v>
      </c>
      <c r="F56" s="473">
        <f t="shared" si="12"/>
        <v>0</v>
      </c>
      <c r="G56" s="446" t="s">
        <v>750</v>
      </c>
      <c r="H56" s="573"/>
      <c r="I56" s="575"/>
    </row>
    <row r="57" spans="1:9" s="475" customFormat="1" ht="25.2" customHeight="1">
      <c r="A57" s="436" t="s">
        <v>247</v>
      </c>
      <c r="B57" s="430" t="s">
        <v>609</v>
      </c>
      <c r="C57" s="525">
        <f>2*221.5</f>
        <v>443</v>
      </c>
      <c r="D57" s="520"/>
      <c r="E57" s="522">
        <f t="shared" si="13"/>
        <v>-443</v>
      </c>
      <c r="F57" s="473">
        <f t="shared" si="12"/>
        <v>0</v>
      </c>
      <c r="G57" s="446" t="s">
        <v>750</v>
      </c>
      <c r="H57" s="573"/>
      <c r="I57" s="575"/>
    </row>
    <row r="58" spans="1:9" s="475" customFormat="1" ht="13.2" customHeight="1">
      <c r="A58" s="436" t="s">
        <v>248</v>
      </c>
      <c r="B58" s="430" t="s">
        <v>620</v>
      </c>
      <c r="C58" s="525">
        <f>1*51.1</f>
        <v>51.1</v>
      </c>
      <c r="D58" s="520"/>
      <c r="E58" s="522">
        <f>D58-C58</f>
        <v>-51.1</v>
      </c>
      <c r="F58" s="473">
        <f t="shared" si="12"/>
        <v>0</v>
      </c>
      <c r="G58" s="446" t="s">
        <v>750</v>
      </c>
      <c r="H58" s="573"/>
      <c r="I58" s="575"/>
    </row>
    <row r="59" spans="1:9" s="475" customFormat="1" ht="14.4" hidden="1" customHeight="1">
      <c r="A59" s="436" t="s">
        <v>770</v>
      </c>
      <c r="B59" s="431" t="s">
        <v>795</v>
      </c>
      <c r="C59" s="522" t="s">
        <v>560</v>
      </c>
      <c r="D59" s="522"/>
      <c r="E59" s="522">
        <f>D59</f>
        <v>0</v>
      </c>
      <c r="F59" s="473"/>
      <c r="G59" s="446" t="s">
        <v>798</v>
      </c>
      <c r="H59" s="573"/>
      <c r="I59" s="520"/>
    </row>
    <row r="60" spans="1:9" s="475" customFormat="1" ht="14.4" hidden="1" customHeight="1">
      <c r="A60" s="436" t="s">
        <v>771</v>
      </c>
      <c r="B60" s="431" t="s">
        <v>794</v>
      </c>
      <c r="C60" s="522" t="s">
        <v>560</v>
      </c>
      <c r="D60" s="522"/>
      <c r="E60" s="522">
        <f t="shared" ref="E60:E62" si="14">D60</f>
        <v>0</v>
      </c>
      <c r="F60" s="473"/>
      <c r="G60" s="446" t="s">
        <v>798</v>
      </c>
      <c r="H60" s="573"/>
      <c r="I60" s="520"/>
    </row>
    <row r="61" spans="1:9" s="475" customFormat="1" ht="15.6" hidden="1" customHeight="1">
      <c r="A61" s="436" t="s">
        <v>772</v>
      </c>
      <c r="B61" s="431" t="s">
        <v>796</v>
      </c>
      <c r="C61" s="522" t="s">
        <v>560</v>
      </c>
      <c r="D61" s="522"/>
      <c r="E61" s="522">
        <f t="shared" si="14"/>
        <v>0</v>
      </c>
      <c r="F61" s="473"/>
      <c r="G61" s="446" t="s">
        <v>798</v>
      </c>
      <c r="H61" s="573"/>
      <c r="I61" s="520"/>
    </row>
    <row r="62" spans="1:9" s="475" customFormat="1" ht="15.6" hidden="1" customHeight="1">
      <c r="A62" s="436" t="s">
        <v>773</v>
      </c>
      <c r="B62" s="431" t="s">
        <v>797</v>
      </c>
      <c r="C62" s="522" t="s">
        <v>560</v>
      </c>
      <c r="D62" s="522"/>
      <c r="E62" s="522">
        <f t="shared" si="14"/>
        <v>0</v>
      </c>
      <c r="F62" s="473"/>
      <c r="G62" s="446" t="s">
        <v>798</v>
      </c>
      <c r="H62" s="574"/>
      <c r="I62" s="520"/>
    </row>
    <row r="63" spans="1:9" s="463" customFormat="1" ht="19.2" customHeight="1">
      <c r="A63" s="436" t="s">
        <v>650</v>
      </c>
      <c r="B63" s="479" t="s">
        <v>251</v>
      </c>
      <c r="C63" s="444">
        <f>SUM(C64:C66)</f>
        <v>170412</v>
      </c>
      <c r="D63" s="444">
        <f>SUM(D64:D68)</f>
        <v>24889.7</v>
      </c>
      <c r="E63" s="444">
        <f>D63-C63</f>
        <v>-145522.29999999999</v>
      </c>
      <c r="F63" s="470">
        <f t="shared" si="12"/>
        <v>14.605602891815131</v>
      </c>
      <c r="G63" s="450"/>
      <c r="H63" s="522"/>
      <c r="I63" s="461"/>
    </row>
    <row r="64" spans="1:9" s="463" customFormat="1" ht="15.6" customHeight="1">
      <c r="A64" s="436" t="s">
        <v>11</v>
      </c>
      <c r="B64" s="431" t="s">
        <v>621</v>
      </c>
      <c r="C64" s="522">
        <v>313</v>
      </c>
      <c r="D64" s="520"/>
      <c r="E64" s="522">
        <f>D64-C64</f>
        <v>-313</v>
      </c>
      <c r="F64" s="473">
        <f t="shared" si="12"/>
        <v>0</v>
      </c>
      <c r="G64" s="446" t="s">
        <v>788</v>
      </c>
      <c r="H64" s="572" t="s">
        <v>632</v>
      </c>
      <c r="I64" s="520" t="s">
        <v>653</v>
      </c>
    </row>
    <row r="65" spans="1:9" s="463" customFormat="1" ht="16.8" customHeight="1">
      <c r="A65" s="436" t="s">
        <v>12</v>
      </c>
      <c r="B65" s="431" t="s">
        <v>622</v>
      </c>
      <c r="C65" s="522">
        <v>685</v>
      </c>
      <c r="D65" s="522">
        <v>0</v>
      </c>
      <c r="E65" s="522">
        <f>D65-C65</f>
        <v>-685</v>
      </c>
      <c r="F65" s="522">
        <v>0</v>
      </c>
      <c r="G65" s="431" t="s">
        <v>824</v>
      </c>
      <c r="H65" s="574"/>
      <c r="I65" s="524"/>
    </row>
    <row r="66" spans="1:9" s="463" customFormat="1" ht="26.4" customHeight="1">
      <c r="A66" s="481" t="s">
        <v>27</v>
      </c>
      <c r="B66" s="482" t="s">
        <v>623</v>
      </c>
      <c r="C66" s="519">
        <v>169414</v>
      </c>
      <c r="D66" s="519">
        <v>24843.7</v>
      </c>
      <c r="E66" s="522">
        <f t="shared" ref="E66" si="15">D66-C66</f>
        <v>-144570.29999999999</v>
      </c>
      <c r="F66" s="483">
        <f t="shared" si="12"/>
        <v>14.664490537972069</v>
      </c>
      <c r="G66" s="449" t="s">
        <v>681</v>
      </c>
      <c r="H66" s="519" t="s">
        <v>656</v>
      </c>
      <c r="I66" s="524" t="s">
        <v>653</v>
      </c>
    </row>
    <row r="67" spans="1:9" s="463" customFormat="1" ht="16.95" customHeight="1">
      <c r="A67" s="481" t="s">
        <v>28</v>
      </c>
      <c r="B67" s="431" t="s">
        <v>765</v>
      </c>
      <c r="C67" s="522" t="s">
        <v>560</v>
      </c>
      <c r="D67" s="520">
        <f>2*23</f>
        <v>46</v>
      </c>
      <c r="E67" s="522">
        <v>46</v>
      </c>
      <c r="F67" s="522">
        <v>100</v>
      </c>
      <c r="G67" s="446" t="s">
        <v>750</v>
      </c>
      <c r="H67" s="522" t="s">
        <v>632</v>
      </c>
      <c r="I67" s="524"/>
    </row>
    <row r="68" spans="1:9" s="463" customFormat="1" ht="16.8" customHeight="1">
      <c r="A68" s="481" t="s">
        <v>29</v>
      </c>
      <c r="B68" s="431" t="s">
        <v>757</v>
      </c>
      <c r="C68" s="522" t="s">
        <v>560</v>
      </c>
      <c r="D68" s="519"/>
      <c r="E68" s="522">
        <f>D68</f>
        <v>0</v>
      </c>
      <c r="F68" s="522">
        <v>0</v>
      </c>
      <c r="G68" s="431" t="s">
        <v>896</v>
      </c>
      <c r="H68" s="522" t="s">
        <v>632</v>
      </c>
      <c r="I68" s="524"/>
    </row>
    <row r="69" spans="1:9" s="463" customFormat="1" ht="19.95" customHeight="1">
      <c r="A69" s="485" t="s">
        <v>651</v>
      </c>
      <c r="B69" s="469" t="s">
        <v>128</v>
      </c>
      <c r="C69" s="444">
        <f>C70+C71+C72+C73+C74+C75</f>
        <v>46159.82142857142</v>
      </c>
      <c r="D69" s="444">
        <f>SUM(D70:D77)</f>
        <v>32926.5</v>
      </c>
      <c r="E69" s="444">
        <f t="shared" ref="E69:E75" si="16">D69-C69</f>
        <v>-13233.32142857142</v>
      </c>
      <c r="F69" s="470">
        <f t="shared" si="12"/>
        <v>71.331515116346552</v>
      </c>
      <c r="G69" s="450"/>
      <c r="H69" s="522"/>
      <c r="I69" s="461"/>
    </row>
    <row r="70" spans="1:9" s="463" customFormat="1" ht="13.8" customHeight="1">
      <c r="A70" s="485" t="s">
        <v>201</v>
      </c>
      <c r="B70" s="430" t="s">
        <v>611</v>
      </c>
      <c r="C70" s="525">
        <f>(12000000/1.12/1000)</f>
        <v>10714.285714285712</v>
      </c>
      <c r="D70" s="522">
        <v>10660.4</v>
      </c>
      <c r="E70" s="522">
        <f t="shared" si="16"/>
        <v>-53.885714285712311</v>
      </c>
      <c r="F70" s="473">
        <f t="shared" si="12"/>
        <v>99.497066666666683</v>
      </c>
      <c r="G70" s="446" t="s">
        <v>750</v>
      </c>
      <c r="H70" s="578" t="s">
        <v>634</v>
      </c>
      <c r="I70" s="575" t="s">
        <v>657</v>
      </c>
    </row>
    <row r="71" spans="1:9" s="463" customFormat="1" ht="13.2" customHeight="1">
      <c r="A71" s="485" t="s">
        <v>202</v>
      </c>
      <c r="B71" s="430" t="s">
        <v>668</v>
      </c>
      <c r="C71" s="525">
        <f>(8251000/1.12/1000)*1</f>
        <v>7366.9642857142853</v>
      </c>
      <c r="D71" s="525">
        <v>6574.1</v>
      </c>
      <c r="E71" s="522">
        <f t="shared" si="16"/>
        <v>-792.86428571428496</v>
      </c>
      <c r="F71" s="473">
        <f t="shared" si="12"/>
        <v>89.237571203490489</v>
      </c>
      <c r="G71" s="446" t="s">
        <v>750</v>
      </c>
      <c r="H71" s="578"/>
      <c r="I71" s="575"/>
    </row>
    <row r="72" spans="1:9" s="463" customFormat="1" ht="24" customHeight="1">
      <c r="A72" s="485" t="s">
        <v>203</v>
      </c>
      <c r="B72" s="430" t="s">
        <v>612</v>
      </c>
      <c r="C72" s="525">
        <f>(6286000/1.12/1000)*2</f>
        <v>11224.999999999998</v>
      </c>
      <c r="D72" s="525"/>
      <c r="E72" s="522">
        <f t="shared" si="16"/>
        <v>-11224.999999999998</v>
      </c>
      <c r="F72" s="473">
        <f t="shared" si="12"/>
        <v>0</v>
      </c>
      <c r="G72" s="446" t="s">
        <v>750</v>
      </c>
      <c r="H72" s="578" t="s">
        <v>634</v>
      </c>
      <c r="I72" s="575"/>
    </row>
    <row r="73" spans="1:9" s="463" customFormat="1" ht="15" customHeight="1">
      <c r="A73" s="485" t="s">
        <v>204</v>
      </c>
      <c r="B73" s="430" t="s">
        <v>613</v>
      </c>
      <c r="C73" s="525">
        <f>(16200000/1.12/1000)*1</f>
        <v>14464.285714285712</v>
      </c>
      <c r="D73" s="390">
        <v>15692</v>
      </c>
      <c r="E73" s="522">
        <f t="shared" si="16"/>
        <v>1227.7142857142881</v>
      </c>
      <c r="F73" s="473">
        <f t="shared" si="12"/>
        <v>108.48790123456793</v>
      </c>
      <c r="G73" s="446" t="s">
        <v>750</v>
      </c>
      <c r="H73" s="578"/>
      <c r="I73" s="575"/>
    </row>
    <row r="74" spans="1:9" s="486" customFormat="1" ht="15.6" customHeight="1">
      <c r="A74" s="485" t="s">
        <v>205</v>
      </c>
      <c r="B74" s="430" t="s">
        <v>614</v>
      </c>
      <c r="C74" s="525">
        <f>(950000/1.12/1000)*2</f>
        <v>1696.4285714285713</v>
      </c>
      <c r="D74" s="525"/>
      <c r="E74" s="522">
        <f t="shared" si="16"/>
        <v>-1696.4285714285713</v>
      </c>
      <c r="F74" s="473">
        <f t="shared" si="12"/>
        <v>0</v>
      </c>
      <c r="G74" s="446" t="s">
        <v>750</v>
      </c>
      <c r="H74" s="578"/>
      <c r="I74" s="575" t="s">
        <v>657</v>
      </c>
    </row>
    <row r="75" spans="1:9" s="486" customFormat="1" ht="17.399999999999999" customHeight="1">
      <c r="A75" s="485" t="s">
        <v>206</v>
      </c>
      <c r="B75" s="430" t="s">
        <v>615</v>
      </c>
      <c r="C75" s="525">
        <f>(776000/1.12/1000)*1</f>
        <v>692.85714285714289</v>
      </c>
      <c r="D75" s="520"/>
      <c r="E75" s="522">
        <f t="shared" si="16"/>
        <v>-692.85714285714289</v>
      </c>
      <c r="F75" s="473">
        <f t="shared" si="12"/>
        <v>0</v>
      </c>
      <c r="G75" s="446" t="s">
        <v>750</v>
      </c>
      <c r="H75" s="578"/>
      <c r="I75" s="575"/>
    </row>
    <row r="76" spans="1:9" s="486" customFormat="1" ht="15" customHeight="1">
      <c r="A76" s="485" t="s">
        <v>207</v>
      </c>
      <c r="B76" s="430" t="s">
        <v>763</v>
      </c>
      <c r="C76" s="525" t="s">
        <v>560</v>
      </c>
      <c r="D76" s="520"/>
      <c r="E76" s="522">
        <f>D76</f>
        <v>0</v>
      </c>
      <c r="F76" s="473">
        <v>0</v>
      </c>
      <c r="G76" s="446" t="s">
        <v>877</v>
      </c>
      <c r="H76" s="578"/>
      <c r="I76" s="520"/>
    </row>
    <row r="77" spans="1:9" s="463" customFormat="1" ht="15" customHeight="1">
      <c r="A77" s="481" t="s">
        <v>774</v>
      </c>
      <c r="B77" s="430" t="s">
        <v>782</v>
      </c>
      <c r="C77" s="525" t="s">
        <v>560</v>
      </c>
      <c r="D77" s="520"/>
      <c r="E77" s="522"/>
      <c r="F77" s="473"/>
      <c r="G77" s="451" t="s">
        <v>869</v>
      </c>
      <c r="H77" s="578"/>
      <c r="I77" s="524"/>
    </row>
    <row r="78" spans="1:9" s="463" customFormat="1" ht="16.95" customHeight="1">
      <c r="A78" s="485"/>
      <c r="B78" s="469" t="s">
        <v>134</v>
      </c>
      <c r="C78" s="444">
        <f>SUM(C80:C88)</f>
        <v>887</v>
      </c>
      <c r="D78" s="444">
        <f>SUM(D80:D92)</f>
        <v>632</v>
      </c>
      <c r="E78" s="444">
        <f>D78-C78</f>
        <v>-255</v>
      </c>
      <c r="F78" s="470">
        <f t="shared" si="12"/>
        <v>71.251409244644876</v>
      </c>
      <c r="G78" s="446"/>
      <c r="H78" s="522"/>
      <c r="I78" s="520" t="s">
        <v>658</v>
      </c>
    </row>
    <row r="79" spans="1:9" s="486" customFormat="1" ht="17.399999999999999" hidden="1" customHeight="1">
      <c r="A79" s="485" t="s">
        <v>647</v>
      </c>
      <c r="B79" s="431" t="s">
        <v>635</v>
      </c>
      <c r="C79" s="522">
        <v>483</v>
      </c>
      <c r="D79" s="478"/>
      <c r="E79" s="478"/>
      <c r="F79" s="478"/>
      <c r="G79" s="446" t="s">
        <v>750</v>
      </c>
      <c r="H79" s="522" t="s">
        <v>634</v>
      </c>
      <c r="I79" s="487"/>
    </row>
    <row r="80" spans="1:9" s="486" customFormat="1" ht="0.6" customHeight="1">
      <c r="A80" s="485" t="s">
        <v>647</v>
      </c>
      <c r="B80" s="431" t="s">
        <v>688</v>
      </c>
      <c r="C80" s="478">
        <v>133</v>
      </c>
      <c r="D80" s="478"/>
      <c r="E80" s="522">
        <f t="shared" ref="E80:E88" si="17">D80-C80</f>
        <v>-133</v>
      </c>
      <c r="F80" s="473">
        <f t="shared" ref="F80:F88" si="18">D80/C80*100</f>
        <v>0</v>
      </c>
      <c r="G80" s="446" t="s">
        <v>750</v>
      </c>
      <c r="H80" s="572" t="s">
        <v>669</v>
      </c>
      <c r="I80" s="586"/>
    </row>
    <row r="81" spans="1:9" s="486" customFormat="1" ht="18" customHeight="1">
      <c r="A81" s="485" t="s">
        <v>259</v>
      </c>
      <c r="B81" s="488" t="s">
        <v>700</v>
      </c>
      <c r="C81" s="478">
        <v>172</v>
      </c>
      <c r="D81" s="478">
        <v>162</v>
      </c>
      <c r="E81" s="522">
        <f t="shared" si="17"/>
        <v>-10</v>
      </c>
      <c r="F81" s="473">
        <f t="shared" si="18"/>
        <v>94.186046511627907</v>
      </c>
      <c r="G81" s="446" t="s">
        <v>750</v>
      </c>
      <c r="H81" s="573"/>
      <c r="I81" s="586"/>
    </row>
    <row r="82" spans="1:9" s="486" customFormat="1" ht="18" customHeight="1">
      <c r="A82" s="485" t="s">
        <v>260</v>
      </c>
      <c r="B82" s="488" t="s">
        <v>670</v>
      </c>
      <c r="C82" s="478">
        <v>78</v>
      </c>
      <c r="D82" s="489">
        <v>35</v>
      </c>
      <c r="E82" s="522">
        <f t="shared" si="17"/>
        <v>-43</v>
      </c>
      <c r="F82" s="473">
        <f t="shared" si="18"/>
        <v>44.871794871794876</v>
      </c>
      <c r="G82" s="446" t="s">
        <v>750</v>
      </c>
      <c r="H82" s="573"/>
      <c r="I82" s="586"/>
    </row>
    <row r="83" spans="1:9" s="486" customFormat="1" ht="18" customHeight="1">
      <c r="A83" s="485" t="s">
        <v>261</v>
      </c>
      <c r="B83" s="488" t="s">
        <v>671</v>
      </c>
      <c r="C83" s="478">
        <v>37</v>
      </c>
      <c r="D83" s="478">
        <v>29</v>
      </c>
      <c r="E83" s="522">
        <f t="shared" si="17"/>
        <v>-8</v>
      </c>
      <c r="F83" s="473">
        <f t="shared" si="18"/>
        <v>78.378378378378372</v>
      </c>
      <c r="G83" s="446" t="s">
        <v>750</v>
      </c>
      <c r="H83" s="573"/>
      <c r="I83" s="586"/>
    </row>
    <row r="84" spans="1:9" s="486" customFormat="1" ht="18" customHeight="1">
      <c r="A84" s="485" t="s">
        <v>262</v>
      </c>
      <c r="B84" s="488" t="s">
        <v>672</v>
      </c>
      <c r="C84" s="478">
        <v>113</v>
      </c>
      <c r="D84" s="478">
        <v>64</v>
      </c>
      <c r="E84" s="522">
        <f t="shared" si="17"/>
        <v>-49</v>
      </c>
      <c r="F84" s="473">
        <f t="shared" si="18"/>
        <v>56.637168141592923</v>
      </c>
      <c r="G84" s="446" t="s">
        <v>750</v>
      </c>
      <c r="H84" s="573"/>
      <c r="I84" s="586"/>
    </row>
    <row r="85" spans="1:9" s="486" customFormat="1" ht="18" customHeight="1">
      <c r="A85" s="485" t="s">
        <v>263</v>
      </c>
      <c r="B85" s="488" t="s">
        <v>673</v>
      </c>
      <c r="C85" s="489">
        <v>58</v>
      </c>
      <c r="D85" s="489">
        <v>39</v>
      </c>
      <c r="E85" s="522">
        <f t="shared" si="17"/>
        <v>-19</v>
      </c>
      <c r="F85" s="473">
        <f t="shared" si="18"/>
        <v>67.241379310344826</v>
      </c>
      <c r="G85" s="446" t="s">
        <v>750</v>
      </c>
      <c r="H85" s="573"/>
      <c r="I85" s="587"/>
    </row>
    <row r="86" spans="1:9" s="486" customFormat="1" ht="19.2" customHeight="1">
      <c r="A86" s="485" t="s">
        <v>264</v>
      </c>
      <c r="B86" s="488" t="s">
        <v>674</v>
      </c>
      <c r="C86" s="478">
        <v>104</v>
      </c>
      <c r="D86" s="478">
        <v>100</v>
      </c>
      <c r="E86" s="522">
        <f t="shared" si="17"/>
        <v>-4</v>
      </c>
      <c r="F86" s="473">
        <f t="shared" si="18"/>
        <v>96.15384615384616</v>
      </c>
      <c r="G86" s="446" t="s">
        <v>750</v>
      </c>
      <c r="H86" s="573"/>
      <c r="I86" s="526"/>
    </row>
    <row r="87" spans="1:9" s="486" customFormat="1" ht="19.2" customHeight="1">
      <c r="A87" s="485" t="s">
        <v>265</v>
      </c>
      <c r="B87" s="488" t="s">
        <v>675</v>
      </c>
      <c r="C87" s="478">
        <v>110</v>
      </c>
      <c r="D87" s="489">
        <v>76</v>
      </c>
      <c r="E87" s="522">
        <f t="shared" si="17"/>
        <v>-34</v>
      </c>
      <c r="F87" s="473">
        <f t="shared" si="18"/>
        <v>69.090909090909093</v>
      </c>
      <c r="G87" s="446" t="s">
        <v>750</v>
      </c>
      <c r="H87" s="573"/>
      <c r="I87" s="526"/>
    </row>
    <row r="88" spans="1:9" s="486" customFormat="1" ht="17.399999999999999" customHeight="1">
      <c r="A88" s="485" t="s">
        <v>266</v>
      </c>
      <c r="B88" s="488" t="s">
        <v>682</v>
      </c>
      <c r="C88" s="489">
        <v>82</v>
      </c>
      <c r="D88" s="489">
        <v>77</v>
      </c>
      <c r="E88" s="522">
        <f t="shared" si="17"/>
        <v>-5</v>
      </c>
      <c r="F88" s="473">
        <f t="shared" si="18"/>
        <v>93.902439024390233</v>
      </c>
      <c r="G88" s="446" t="s">
        <v>750</v>
      </c>
      <c r="H88" s="573"/>
      <c r="I88" s="526"/>
    </row>
    <row r="89" spans="1:9" s="486" customFormat="1" ht="15" hidden="1" customHeight="1">
      <c r="A89" s="485" t="s">
        <v>267</v>
      </c>
      <c r="B89" s="488" t="s">
        <v>760</v>
      </c>
      <c r="C89" s="443" t="s">
        <v>560</v>
      </c>
      <c r="D89" s="489"/>
      <c r="E89" s="522"/>
      <c r="F89" s="473"/>
      <c r="G89" s="430" t="s">
        <v>879</v>
      </c>
      <c r="H89" s="573"/>
      <c r="I89" s="526"/>
    </row>
    <row r="90" spans="1:9" s="486" customFormat="1" ht="17.399999999999999" hidden="1" customHeight="1">
      <c r="A90" s="485" t="s">
        <v>268</v>
      </c>
      <c r="B90" s="488" t="s">
        <v>761</v>
      </c>
      <c r="C90" s="443" t="s">
        <v>560</v>
      </c>
      <c r="D90" s="489"/>
      <c r="E90" s="522"/>
      <c r="F90" s="473"/>
      <c r="G90" s="430" t="s">
        <v>871</v>
      </c>
      <c r="H90" s="573"/>
      <c r="I90" s="526"/>
    </row>
    <row r="91" spans="1:9" s="486" customFormat="1" ht="13.2" hidden="1" customHeight="1">
      <c r="A91" s="485" t="s">
        <v>269</v>
      </c>
      <c r="B91" s="451" t="s">
        <v>758</v>
      </c>
      <c r="C91" s="443" t="s">
        <v>560</v>
      </c>
      <c r="D91" s="489"/>
      <c r="E91" s="522">
        <f>D91</f>
        <v>0</v>
      </c>
      <c r="F91" s="473">
        <v>0</v>
      </c>
      <c r="G91" s="446" t="s">
        <v>750</v>
      </c>
      <c r="H91" s="573"/>
      <c r="I91" s="526"/>
    </row>
    <row r="92" spans="1:9" s="486" customFormat="1" ht="13.8" customHeight="1">
      <c r="A92" s="485" t="s">
        <v>267</v>
      </c>
      <c r="B92" s="488" t="s">
        <v>716</v>
      </c>
      <c r="C92" s="443" t="s">
        <v>560</v>
      </c>
      <c r="D92" s="489">
        <v>50</v>
      </c>
      <c r="E92" s="522">
        <f>D92</f>
        <v>50</v>
      </c>
      <c r="F92" s="473">
        <v>0</v>
      </c>
      <c r="G92" s="446" t="s">
        <v>750</v>
      </c>
      <c r="H92" s="574"/>
      <c r="I92" s="526"/>
    </row>
    <row r="93" spans="1:9" ht="18" customHeight="1">
      <c r="A93" s="492"/>
      <c r="B93" s="458" t="s">
        <v>95</v>
      </c>
      <c r="C93" s="448">
        <f>440139+448528+C37+C50+C63+C69+C78</f>
        <v>1138328.9214285715</v>
      </c>
      <c r="D93" s="493">
        <f>D7+D17+D37+D50+D63+D69+D78</f>
        <v>209767.198</v>
      </c>
      <c r="E93" s="494">
        <f>D93-C93</f>
        <v>-928561.72342857148</v>
      </c>
      <c r="F93" s="494">
        <f>D93/C93*100</f>
        <v>18.427643719773716</v>
      </c>
      <c r="G93" s="452"/>
      <c r="H93" s="448"/>
      <c r="I93" s="495"/>
    </row>
    <row r="94" spans="1:9" ht="18" customHeight="1">
      <c r="A94" s="496"/>
      <c r="B94" s="497"/>
      <c r="C94" s="498"/>
      <c r="D94" s="499"/>
      <c r="E94" s="500"/>
      <c r="F94" s="500"/>
      <c r="G94" s="453"/>
      <c r="H94" s="498"/>
      <c r="I94" s="501"/>
    </row>
    <row r="95" spans="1:9" ht="15.75" customHeight="1">
      <c r="A95" s="496"/>
      <c r="B95" s="497"/>
      <c r="C95" s="498"/>
      <c r="D95" s="502"/>
      <c r="E95" s="503"/>
      <c r="F95" s="503"/>
      <c r="G95" s="453"/>
      <c r="H95" s="498"/>
    </row>
    <row r="96" spans="1:9" hidden="1">
      <c r="B96" s="584" t="s">
        <v>753</v>
      </c>
      <c r="C96" s="584"/>
      <c r="D96" s="584"/>
      <c r="E96" s="584"/>
      <c r="F96" s="584"/>
      <c r="G96" s="584"/>
      <c r="H96" s="584"/>
    </row>
    <row r="99" spans="2:8" hidden="1"/>
    <row r="100" spans="2:8" ht="12.6" customHeight="1">
      <c r="B100" s="585" t="s">
        <v>637</v>
      </c>
      <c r="C100" s="585"/>
      <c r="D100" s="585"/>
      <c r="E100" s="585"/>
      <c r="F100" s="585"/>
      <c r="G100" s="585"/>
      <c r="H100" s="585"/>
    </row>
  </sheetData>
  <mergeCells count="23">
    <mergeCell ref="B96:H96"/>
    <mergeCell ref="B100:H100"/>
    <mergeCell ref="H64:H65"/>
    <mergeCell ref="H70:H71"/>
    <mergeCell ref="I70:I73"/>
    <mergeCell ref="H72:H77"/>
    <mergeCell ref="I74:I75"/>
    <mergeCell ref="H80:H92"/>
    <mergeCell ref="I80:I85"/>
    <mergeCell ref="H51:H62"/>
    <mergeCell ref="I51:I54"/>
    <mergeCell ref="I55:I58"/>
    <mergeCell ref="B1:I1"/>
    <mergeCell ref="A2:I2"/>
    <mergeCell ref="E4:H4"/>
    <mergeCell ref="H8:H14"/>
    <mergeCell ref="H17:H18"/>
    <mergeCell ref="H19:H31"/>
    <mergeCell ref="H32:H36"/>
    <mergeCell ref="H38:H39"/>
    <mergeCell ref="I38:I40"/>
    <mergeCell ref="I41:I47"/>
    <mergeCell ref="H42:H47"/>
  </mergeCells>
  <pageMargins left="0.70866141732283472" right="0" top="0.23622047244094491" bottom="0.31496062992125984" header="0.23622047244094491" footer="0.31496062992125984"/>
  <pageSetup paperSize="9" scale="75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C00000"/>
  </sheetPr>
  <dimension ref="A1:G99"/>
  <sheetViews>
    <sheetView tabSelected="1" view="pageBreakPreview" topLeftCell="A67" zoomScale="80" zoomScaleSheetLayoutView="80" workbookViewId="0">
      <selection activeCell="G93" sqref="A93:XFD95"/>
    </sheetView>
  </sheetViews>
  <sheetFormatPr defaultColWidth="9.109375" defaultRowHeight="13.2"/>
  <cols>
    <col min="1" max="1" width="5" style="248" customWidth="1"/>
    <col min="2" max="2" width="48.6640625" style="248" customWidth="1"/>
    <col min="3" max="3" width="9.21875" style="248" customWidth="1"/>
    <col min="4" max="4" width="11.44140625" style="236" customWidth="1"/>
    <col min="5" max="6" width="12" style="245" customWidth="1"/>
    <col min="7" max="7" width="23.21875" style="248" customWidth="1"/>
    <col min="8" max="16384" width="9.109375" style="248"/>
  </cols>
  <sheetData>
    <row r="1" spans="1:7">
      <c r="A1" s="232"/>
      <c r="B1" s="590" t="s">
        <v>979</v>
      </c>
      <c r="C1" s="590"/>
      <c r="D1" s="590"/>
      <c r="E1" s="590"/>
      <c r="F1" s="590"/>
    </row>
    <row r="2" spans="1:7">
      <c r="A2" s="590" t="s">
        <v>618</v>
      </c>
      <c r="B2" s="590"/>
      <c r="C2" s="590"/>
      <c r="D2" s="590"/>
      <c r="E2" s="590"/>
      <c r="F2" s="590"/>
    </row>
    <row r="3" spans="1:7">
      <c r="A3" s="550"/>
      <c r="B3" s="550"/>
      <c r="C3" s="550"/>
      <c r="D3" s="550"/>
      <c r="E3" s="550"/>
      <c r="F3" s="550"/>
    </row>
    <row r="4" spans="1:7" ht="13.2" customHeight="1">
      <c r="A4" s="550"/>
      <c r="B4" s="547"/>
      <c r="C4" s="548"/>
      <c r="D4" s="546"/>
      <c r="E4" s="591" t="s">
        <v>977</v>
      </c>
      <c r="F4" s="591"/>
    </row>
    <row r="5" spans="1:7" ht="16.8" customHeight="1">
      <c r="A5" s="592" t="s">
        <v>25</v>
      </c>
      <c r="B5" s="594" t="s">
        <v>84</v>
      </c>
      <c r="C5" s="596" t="s">
        <v>905</v>
      </c>
      <c r="D5" s="596" t="s">
        <v>976</v>
      </c>
      <c r="E5" s="597" t="s">
        <v>978</v>
      </c>
      <c r="F5" s="596" t="s">
        <v>828</v>
      </c>
    </row>
    <row r="6" spans="1:7" ht="61.8" customHeight="1">
      <c r="A6" s="593"/>
      <c r="B6" s="595"/>
      <c r="C6" s="596"/>
      <c r="D6" s="596"/>
      <c r="E6" s="597"/>
      <c r="F6" s="596"/>
    </row>
    <row r="7" spans="1:7" ht="19.8" customHeight="1">
      <c r="A7" s="551"/>
      <c r="B7" s="549" t="s">
        <v>947</v>
      </c>
      <c r="C7" s="243">
        <f>C8+C16+C37+C46+C59+C66+C76</f>
        <v>1240818</v>
      </c>
      <c r="D7" s="243">
        <f>D8+D16+D37+D46+D59+D66+D76</f>
        <v>1242836</v>
      </c>
      <c r="E7" s="243">
        <f>D7-C7</f>
        <v>2018</v>
      </c>
      <c r="F7" s="240">
        <f>D7/C7*100</f>
        <v>100.16263464907826</v>
      </c>
      <c r="G7" s="562"/>
    </row>
    <row r="8" spans="1:7" ht="26.4" customHeight="1">
      <c r="A8" s="216" t="s">
        <v>645</v>
      </c>
      <c r="B8" s="332" t="s">
        <v>220</v>
      </c>
      <c r="C8" s="243">
        <f>SUM(C9:C15)</f>
        <v>517388</v>
      </c>
      <c r="D8" s="243">
        <f>SUM(D9:D15)</f>
        <v>518519</v>
      </c>
      <c r="E8" s="243">
        <f t="shared" ref="E8:E44" si="0">D8-C8</f>
        <v>1131</v>
      </c>
      <c r="F8" s="240">
        <f>D8/C8*100</f>
        <v>100.21859803474375</v>
      </c>
      <c r="G8" s="561"/>
    </row>
    <row r="9" spans="1:7" ht="39.6">
      <c r="A9" s="216" t="s">
        <v>3</v>
      </c>
      <c r="B9" s="557" t="s">
        <v>953</v>
      </c>
      <c r="C9" s="552">
        <v>48095</v>
      </c>
      <c r="D9" s="559">
        <v>48095</v>
      </c>
      <c r="E9" s="552">
        <f t="shared" si="0"/>
        <v>0</v>
      </c>
      <c r="F9" s="242">
        <f>D9/C9*100</f>
        <v>100</v>
      </c>
    </row>
    <row r="10" spans="1:7" ht="26.4">
      <c r="A10" s="216" t="s">
        <v>4</v>
      </c>
      <c r="B10" s="557" t="s">
        <v>954</v>
      </c>
      <c r="C10" s="552">
        <v>13647</v>
      </c>
      <c r="D10" s="552">
        <v>13695</v>
      </c>
      <c r="E10" s="552">
        <f t="shared" si="0"/>
        <v>48</v>
      </c>
      <c r="F10" s="242">
        <f t="shared" ref="F10:F15" si="1">D10/C10*100</f>
        <v>100.35172565398989</v>
      </c>
    </row>
    <row r="11" spans="1:7" ht="26.4">
      <c r="A11" s="216" t="s">
        <v>5</v>
      </c>
      <c r="B11" s="557" t="s">
        <v>945</v>
      </c>
      <c r="C11" s="552">
        <v>80098</v>
      </c>
      <c r="D11" s="560">
        <v>80098</v>
      </c>
      <c r="E11" s="552">
        <f t="shared" si="0"/>
        <v>0</v>
      </c>
      <c r="F11" s="242">
        <f t="shared" si="1"/>
        <v>100</v>
      </c>
    </row>
    <row r="12" spans="1:7" ht="26.4">
      <c r="A12" s="216" t="s">
        <v>6</v>
      </c>
      <c r="B12" s="557" t="s">
        <v>742</v>
      </c>
      <c r="C12" s="552">
        <v>79053</v>
      </c>
      <c r="D12" s="552">
        <v>79053</v>
      </c>
      <c r="E12" s="552">
        <f t="shared" si="0"/>
        <v>0</v>
      </c>
      <c r="F12" s="242">
        <f t="shared" si="1"/>
        <v>100</v>
      </c>
    </row>
    <row r="13" spans="1:7" ht="26.4">
      <c r="A13" s="216" t="s">
        <v>7</v>
      </c>
      <c r="B13" s="557" t="s">
        <v>946</v>
      </c>
      <c r="C13" s="552">
        <v>100146</v>
      </c>
      <c r="D13" s="552">
        <v>100146</v>
      </c>
      <c r="E13" s="552">
        <f t="shared" si="0"/>
        <v>0</v>
      </c>
      <c r="F13" s="242">
        <f t="shared" si="1"/>
        <v>100</v>
      </c>
    </row>
    <row r="14" spans="1:7" ht="26.4">
      <c r="A14" s="216" t="s">
        <v>8</v>
      </c>
      <c r="B14" s="557" t="s">
        <v>955</v>
      </c>
      <c r="C14" s="552">
        <v>127024</v>
      </c>
      <c r="D14" s="559">
        <v>127767</v>
      </c>
      <c r="E14" s="552">
        <f t="shared" si="0"/>
        <v>743</v>
      </c>
      <c r="F14" s="242">
        <f t="shared" si="1"/>
        <v>100.58492883234665</v>
      </c>
    </row>
    <row r="15" spans="1:7" ht="43.2" customHeight="1">
      <c r="A15" s="216" t="s">
        <v>19</v>
      </c>
      <c r="B15" s="259" t="s">
        <v>904</v>
      </c>
      <c r="C15" s="552">
        <v>69325</v>
      </c>
      <c r="D15" s="552">
        <v>69665</v>
      </c>
      <c r="E15" s="552">
        <f t="shared" si="0"/>
        <v>340</v>
      </c>
      <c r="F15" s="242">
        <f t="shared" si="1"/>
        <v>100.49044356292825</v>
      </c>
    </row>
    <row r="16" spans="1:7" s="320" customFormat="1" ht="52.2" customHeight="1">
      <c r="A16" s="216" t="s">
        <v>646</v>
      </c>
      <c r="B16" s="332" t="s">
        <v>402</v>
      </c>
      <c r="C16" s="243">
        <f>SUM(C17:C36)</f>
        <v>448528</v>
      </c>
      <c r="D16" s="243">
        <f>SUM(D17:D36)</f>
        <v>448735</v>
      </c>
      <c r="E16" s="243">
        <f t="shared" si="0"/>
        <v>207</v>
      </c>
      <c r="F16" s="333">
        <f>D16/C16*100</f>
        <v>100.04615096493418</v>
      </c>
    </row>
    <row r="17" spans="1:6" s="320" customFormat="1" ht="26.4">
      <c r="A17" s="216" t="s">
        <v>186</v>
      </c>
      <c r="B17" s="259" t="s">
        <v>956</v>
      </c>
      <c r="C17" s="536">
        <v>18715</v>
      </c>
      <c r="D17" s="554">
        <v>18715</v>
      </c>
      <c r="E17" s="552">
        <f t="shared" si="0"/>
        <v>0</v>
      </c>
      <c r="F17" s="242">
        <f>D17/C17*100</f>
        <v>100</v>
      </c>
    </row>
    <row r="18" spans="1:6" s="320" customFormat="1" ht="26.4">
      <c r="A18" s="543" t="s">
        <v>187</v>
      </c>
      <c r="B18" s="544" t="s">
        <v>957</v>
      </c>
      <c r="C18" s="545">
        <v>7682</v>
      </c>
      <c r="D18" s="554">
        <v>7682</v>
      </c>
      <c r="E18" s="552">
        <f t="shared" si="0"/>
        <v>0</v>
      </c>
      <c r="F18" s="242">
        <f t="shared" ref="F18:F36" si="2">D18/C18*100</f>
        <v>100</v>
      </c>
    </row>
    <row r="19" spans="1:6" s="320" customFormat="1" ht="26.4">
      <c r="A19" s="543" t="s">
        <v>221</v>
      </c>
      <c r="B19" s="544" t="s">
        <v>958</v>
      </c>
      <c r="C19" s="545">
        <v>16380</v>
      </c>
      <c r="D19" s="554">
        <v>16380</v>
      </c>
      <c r="E19" s="552">
        <f t="shared" si="0"/>
        <v>0</v>
      </c>
      <c r="F19" s="242">
        <f t="shared" si="2"/>
        <v>100</v>
      </c>
    </row>
    <row r="20" spans="1:6" s="320" customFormat="1" ht="26.4">
      <c r="A20" s="216" t="s">
        <v>222</v>
      </c>
      <c r="B20" s="214" t="s">
        <v>959</v>
      </c>
      <c r="C20" s="536">
        <v>26063</v>
      </c>
      <c r="D20" s="552">
        <v>26063</v>
      </c>
      <c r="E20" s="552">
        <f t="shared" si="0"/>
        <v>0</v>
      </c>
      <c r="F20" s="242">
        <f t="shared" si="2"/>
        <v>100</v>
      </c>
    </row>
    <row r="21" spans="1:6" s="320" customFormat="1" ht="26.4">
      <c r="A21" s="543" t="s">
        <v>223</v>
      </c>
      <c r="B21" s="214" t="s">
        <v>960</v>
      </c>
      <c r="C21" s="536">
        <v>28537</v>
      </c>
      <c r="D21" s="554">
        <v>28537</v>
      </c>
      <c r="E21" s="552">
        <f t="shared" si="0"/>
        <v>0</v>
      </c>
      <c r="F21" s="242">
        <f t="shared" si="2"/>
        <v>100</v>
      </c>
    </row>
    <row r="22" spans="1:6" s="320" customFormat="1" ht="26.4">
      <c r="A22" s="216" t="s">
        <v>224</v>
      </c>
      <c r="B22" s="214" t="s">
        <v>961</v>
      </c>
      <c r="C22" s="536">
        <v>24934</v>
      </c>
      <c r="D22" s="554">
        <v>24934</v>
      </c>
      <c r="E22" s="552">
        <f t="shared" si="0"/>
        <v>0</v>
      </c>
      <c r="F22" s="242">
        <f t="shared" si="2"/>
        <v>100</v>
      </c>
    </row>
    <row r="23" spans="1:6" s="320" customFormat="1" ht="26.4">
      <c r="A23" s="216" t="s">
        <v>225</v>
      </c>
      <c r="B23" s="214" t="s">
        <v>962</v>
      </c>
      <c r="C23" s="536">
        <v>160240</v>
      </c>
      <c r="D23" s="554">
        <v>160240</v>
      </c>
      <c r="E23" s="552">
        <f t="shared" si="0"/>
        <v>0</v>
      </c>
      <c r="F23" s="242">
        <f t="shared" si="2"/>
        <v>100</v>
      </c>
    </row>
    <row r="24" spans="1:6" s="320" customFormat="1" ht="26.4">
      <c r="A24" s="543" t="s">
        <v>226</v>
      </c>
      <c r="B24" s="557" t="s">
        <v>963</v>
      </c>
      <c r="C24" s="530">
        <v>1229</v>
      </c>
      <c r="D24" s="554">
        <v>1229</v>
      </c>
      <c r="E24" s="552">
        <f t="shared" si="0"/>
        <v>0</v>
      </c>
      <c r="F24" s="242">
        <f t="shared" si="2"/>
        <v>100</v>
      </c>
    </row>
    <row r="25" spans="1:6" s="320" customFormat="1" ht="26.4">
      <c r="A25" s="543" t="s">
        <v>227</v>
      </c>
      <c r="B25" s="557" t="s">
        <v>964</v>
      </c>
      <c r="C25" s="530">
        <v>1189</v>
      </c>
      <c r="D25" s="554">
        <v>1189</v>
      </c>
      <c r="E25" s="552">
        <f t="shared" si="0"/>
        <v>0</v>
      </c>
      <c r="F25" s="242">
        <f t="shared" si="2"/>
        <v>100</v>
      </c>
    </row>
    <row r="26" spans="1:6" s="320" customFormat="1" ht="26.4">
      <c r="A26" s="216" t="s">
        <v>228</v>
      </c>
      <c r="B26" s="214" t="s">
        <v>965</v>
      </c>
      <c r="C26" s="536">
        <v>14516</v>
      </c>
      <c r="D26" s="554">
        <v>14516</v>
      </c>
      <c r="E26" s="552">
        <f t="shared" si="0"/>
        <v>0</v>
      </c>
      <c r="F26" s="242">
        <f t="shared" si="2"/>
        <v>100</v>
      </c>
    </row>
    <row r="27" spans="1:6" s="320" customFormat="1" ht="26.4">
      <c r="A27" s="216" t="s">
        <v>229</v>
      </c>
      <c r="B27" s="214" t="s">
        <v>966</v>
      </c>
      <c r="C27" s="536">
        <v>4414</v>
      </c>
      <c r="D27" s="554">
        <v>4414</v>
      </c>
      <c r="E27" s="552">
        <f t="shared" si="0"/>
        <v>0</v>
      </c>
      <c r="F27" s="242">
        <f t="shared" si="2"/>
        <v>100</v>
      </c>
    </row>
    <row r="28" spans="1:6" s="320" customFormat="1" ht="26.4">
      <c r="A28" s="216" t="s">
        <v>230</v>
      </c>
      <c r="B28" s="214" t="s">
        <v>967</v>
      </c>
      <c r="C28" s="539">
        <v>32340</v>
      </c>
      <c r="D28" s="554">
        <v>32340</v>
      </c>
      <c r="E28" s="552">
        <v>0</v>
      </c>
      <c r="F28" s="242">
        <f t="shared" si="2"/>
        <v>100</v>
      </c>
    </row>
    <row r="29" spans="1:6" s="320" customFormat="1" ht="27.6" customHeight="1">
      <c r="A29" s="216" t="s">
        <v>231</v>
      </c>
      <c r="B29" s="214" t="s">
        <v>968</v>
      </c>
      <c r="C29" s="536">
        <v>2630</v>
      </c>
      <c r="D29" s="554">
        <v>2630</v>
      </c>
      <c r="E29" s="552">
        <f t="shared" si="0"/>
        <v>0</v>
      </c>
      <c r="F29" s="242">
        <f t="shared" si="2"/>
        <v>100</v>
      </c>
    </row>
    <row r="30" spans="1:6" s="320" customFormat="1" ht="28.2" customHeight="1">
      <c r="A30" s="216" t="s">
        <v>232</v>
      </c>
      <c r="B30" s="214" t="s">
        <v>969</v>
      </c>
      <c r="C30" s="536">
        <v>5033</v>
      </c>
      <c r="D30" s="554">
        <v>5033</v>
      </c>
      <c r="E30" s="552">
        <f t="shared" si="0"/>
        <v>0</v>
      </c>
      <c r="F30" s="242">
        <f t="shared" si="2"/>
        <v>100</v>
      </c>
    </row>
    <row r="31" spans="1:6" s="320" customFormat="1" ht="26.4">
      <c r="A31" s="543" t="s">
        <v>233</v>
      </c>
      <c r="B31" s="214" t="s">
        <v>970</v>
      </c>
      <c r="C31" s="536">
        <v>25094</v>
      </c>
      <c r="D31" s="554">
        <v>25094</v>
      </c>
      <c r="E31" s="552">
        <f t="shared" si="0"/>
        <v>0</v>
      </c>
      <c r="F31" s="242">
        <f t="shared" si="2"/>
        <v>100</v>
      </c>
    </row>
    <row r="32" spans="1:6" s="320" customFormat="1" ht="28.2" customHeight="1">
      <c r="A32" s="543" t="s">
        <v>234</v>
      </c>
      <c r="B32" s="214" t="s">
        <v>971</v>
      </c>
      <c r="C32" s="536">
        <v>8786</v>
      </c>
      <c r="D32" s="554">
        <v>8786</v>
      </c>
      <c r="E32" s="552">
        <f t="shared" si="0"/>
        <v>0</v>
      </c>
      <c r="F32" s="242">
        <f t="shared" si="2"/>
        <v>100</v>
      </c>
    </row>
    <row r="33" spans="1:7" s="320" customFormat="1" ht="26.4">
      <c r="A33" s="216" t="s">
        <v>235</v>
      </c>
      <c r="B33" s="214" t="s">
        <v>972</v>
      </c>
      <c r="C33" s="539">
        <v>6071</v>
      </c>
      <c r="D33" s="554">
        <v>6071</v>
      </c>
      <c r="E33" s="552">
        <v>0</v>
      </c>
      <c r="F33" s="242">
        <f t="shared" si="2"/>
        <v>100</v>
      </c>
    </row>
    <row r="34" spans="1:7" s="320" customFormat="1" ht="26.4">
      <c r="A34" s="216" t="s">
        <v>236</v>
      </c>
      <c r="B34" s="259" t="s">
        <v>973</v>
      </c>
      <c r="C34" s="536">
        <v>20824</v>
      </c>
      <c r="D34" s="554">
        <v>20824</v>
      </c>
      <c r="E34" s="552">
        <f t="shared" si="0"/>
        <v>0</v>
      </c>
      <c r="F34" s="242">
        <f t="shared" si="2"/>
        <v>100</v>
      </c>
    </row>
    <row r="35" spans="1:7" s="320" customFormat="1" ht="26.4">
      <c r="A35" s="216" t="s">
        <v>237</v>
      </c>
      <c r="B35" s="214" t="s">
        <v>974</v>
      </c>
      <c r="C35" s="536">
        <v>27299</v>
      </c>
      <c r="D35" s="554">
        <v>27299</v>
      </c>
      <c r="E35" s="552">
        <f t="shared" si="0"/>
        <v>0</v>
      </c>
      <c r="F35" s="242">
        <f t="shared" si="2"/>
        <v>100</v>
      </c>
    </row>
    <row r="36" spans="1:7" s="320" customFormat="1" ht="39.6">
      <c r="A36" s="216" t="s">
        <v>238</v>
      </c>
      <c r="B36" s="259" t="s">
        <v>975</v>
      </c>
      <c r="C36" s="552">
        <v>16552</v>
      </c>
      <c r="D36" s="563">
        <v>16759</v>
      </c>
      <c r="E36" s="552">
        <f t="shared" si="0"/>
        <v>207</v>
      </c>
      <c r="F36" s="242">
        <f t="shared" si="2"/>
        <v>101.25060415659739</v>
      </c>
    </row>
    <row r="37" spans="1:7" s="320" customFormat="1" ht="26.4">
      <c r="A37" s="328" t="s">
        <v>648</v>
      </c>
      <c r="B37" s="288" t="s">
        <v>902</v>
      </c>
      <c r="C37" s="325">
        <f>SUM(C38:C44)</f>
        <v>22345</v>
      </c>
      <c r="D37" s="243">
        <f>SUM(D38:D45)</f>
        <v>23132</v>
      </c>
      <c r="E37" s="325">
        <f t="shared" si="0"/>
        <v>787</v>
      </c>
      <c r="F37" s="325">
        <f>D37/C37*100</f>
        <v>103.5220407249944</v>
      </c>
    </row>
    <row r="38" spans="1:7" s="335" customFormat="1" ht="15" customHeight="1">
      <c r="A38" s="328" t="s">
        <v>155</v>
      </c>
      <c r="B38" s="259" t="s">
        <v>906</v>
      </c>
      <c r="C38" s="556">
        <v>1841</v>
      </c>
      <c r="D38" s="536">
        <v>1841</v>
      </c>
      <c r="E38" s="552">
        <f t="shared" si="0"/>
        <v>0</v>
      </c>
      <c r="F38" s="242">
        <f>D38/C38*100</f>
        <v>100</v>
      </c>
    </row>
    <row r="39" spans="1:7" s="335" customFormat="1">
      <c r="A39" s="328" t="s">
        <v>156</v>
      </c>
      <c r="B39" s="259" t="s">
        <v>935</v>
      </c>
      <c r="C39" s="553">
        <v>5591</v>
      </c>
      <c r="D39" s="552">
        <f>450+5141</f>
        <v>5591</v>
      </c>
      <c r="E39" s="552">
        <f t="shared" si="0"/>
        <v>0</v>
      </c>
      <c r="F39" s="242">
        <f t="shared" ref="F39:F44" si="3">D39/C39*100</f>
        <v>100</v>
      </c>
    </row>
    <row r="40" spans="1:7" s="335" customFormat="1">
      <c r="A40" s="328" t="s">
        <v>157</v>
      </c>
      <c r="B40" s="259" t="s">
        <v>907</v>
      </c>
      <c r="C40" s="556">
        <v>454</v>
      </c>
      <c r="D40" s="552">
        <v>454</v>
      </c>
      <c r="E40" s="552">
        <f t="shared" si="0"/>
        <v>0</v>
      </c>
      <c r="F40" s="242">
        <f t="shared" si="3"/>
        <v>100</v>
      </c>
    </row>
    <row r="41" spans="1:7" s="335" customFormat="1">
      <c r="A41" s="328" t="s">
        <v>158</v>
      </c>
      <c r="B41" s="259" t="s">
        <v>908</v>
      </c>
      <c r="C41" s="556">
        <v>179</v>
      </c>
      <c r="D41" s="242">
        <v>179</v>
      </c>
      <c r="E41" s="552">
        <f t="shared" si="0"/>
        <v>0</v>
      </c>
      <c r="F41" s="242">
        <f t="shared" si="3"/>
        <v>100</v>
      </c>
    </row>
    <row r="42" spans="1:7" s="335" customFormat="1">
      <c r="A42" s="328" t="s">
        <v>159</v>
      </c>
      <c r="B42" s="259" t="s">
        <v>909</v>
      </c>
      <c r="C42" s="556">
        <v>6630</v>
      </c>
      <c r="D42" s="552">
        <v>6630</v>
      </c>
      <c r="E42" s="552">
        <f t="shared" si="0"/>
        <v>0</v>
      </c>
      <c r="F42" s="242">
        <f t="shared" si="3"/>
        <v>100</v>
      </c>
    </row>
    <row r="43" spans="1:7" s="335" customFormat="1" ht="15.6" customHeight="1">
      <c r="A43" s="328" t="s">
        <v>160</v>
      </c>
      <c r="B43" s="259" t="s">
        <v>936</v>
      </c>
      <c r="C43" s="556">
        <v>4500</v>
      </c>
      <c r="D43" s="552">
        <v>4500</v>
      </c>
      <c r="E43" s="552">
        <f t="shared" si="0"/>
        <v>0</v>
      </c>
      <c r="F43" s="242">
        <f t="shared" si="3"/>
        <v>100</v>
      </c>
      <c r="G43" s="347"/>
    </row>
    <row r="44" spans="1:7" s="335" customFormat="1" ht="15.6" customHeight="1">
      <c r="A44" s="328" t="s">
        <v>161</v>
      </c>
      <c r="B44" s="259" t="s">
        <v>903</v>
      </c>
      <c r="C44" s="556">
        <v>3150</v>
      </c>
      <c r="D44" s="552">
        <v>0</v>
      </c>
      <c r="E44" s="552">
        <f t="shared" si="0"/>
        <v>-3150</v>
      </c>
      <c r="F44" s="242">
        <f t="shared" si="3"/>
        <v>0</v>
      </c>
      <c r="G44" s="347"/>
    </row>
    <row r="45" spans="1:7" s="335" customFormat="1" ht="25.8" customHeight="1">
      <c r="A45" s="328" t="s">
        <v>162</v>
      </c>
      <c r="B45" s="259" t="s">
        <v>944</v>
      </c>
      <c r="C45" s="556"/>
      <c r="D45" s="552">
        <v>3937</v>
      </c>
      <c r="E45" s="324">
        <f>D45</f>
        <v>3937</v>
      </c>
      <c r="F45" s="242">
        <v>0</v>
      </c>
      <c r="G45" s="347"/>
    </row>
    <row r="46" spans="1:7" s="320" customFormat="1" ht="14.4" customHeight="1">
      <c r="A46" s="328" t="s">
        <v>649</v>
      </c>
      <c r="B46" s="288" t="s">
        <v>125</v>
      </c>
      <c r="C46" s="321">
        <f>SUM(C47:C58)</f>
        <v>15105</v>
      </c>
      <c r="D46" s="321">
        <f>SUM(D47:D58)</f>
        <v>15105</v>
      </c>
      <c r="E46" s="243">
        <f>D46-C46</f>
        <v>0</v>
      </c>
      <c r="F46" s="333">
        <f>D46/C46*100</f>
        <v>100</v>
      </c>
    </row>
    <row r="47" spans="1:7" s="320" customFormat="1" ht="52.8">
      <c r="A47" s="216" t="s">
        <v>195</v>
      </c>
      <c r="B47" s="259" t="s">
        <v>910</v>
      </c>
      <c r="C47" s="553">
        <v>1113</v>
      </c>
      <c r="D47" s="553">
        <v>1113</v>
      </c>
      <c r="E47" s="552">
        <f t="shared" ref="E47:E58" si="4">D47-C47</f>
        <v>0</v>
      </c>
      <c r="F47" s="242">
        <f>D47/C47*100</f>
        <v>100</v>
      </c>
    </row>
    <row r="48" spans="1:7">
      <c r="A48" s="216" t="s">
        <v>196</v>
      </c>
      <c r="B48" s="259" t="s">
        <v>911</v>
      </c>
      <c r="C48" s="244">
        <v>174</v>
      </c>
      <c r="D48" s="555">
        <v>174</v>
      </c>
      <c r="E48" s="552">
        <f t="shared" si="4"/>
        <v>0</v>
      </c>
      <c r="F48" s="242">
        <f t="shared" ref="F48:F58" si="5">D48/C48*100</f>
        <v>100</v>
      </c>
    </row>
    <row r="49" spans="1:7" ht="26.4">
      <c r="A49" s="216" t="s">
        <v>197</v>
      </c>
      <c r="B49" s="259" t="s">
        <v>912</v>
      </c>
      <c r="C49" s="244">
        <v>57</v>
      </c>
      <c r="D49" s="555">
        <v>57</v>
      </c>
      <c r="E49" s="552">
        <f t="shared" si="4"/>
        <v>0</v>
      </c>
      <c r="F49" s="242">
        <f t="shared" si="5"/>
        <v>100</v>
      </c>
    </row>
    <row r="50" spans="1:7" s="335" customFormat="1" ht="26.4">
      <c r="A50" s="216" t="s">
        <v>198</v>
      </c>
      <c r="B50" s="259" t="s">
        <v>913</v>
      </c>
      <c r="C50" s="244">
        <v>46</v>
      </c>
      <c r="D50" s="555">
        <v>46</v>
      </c>
      <c r="E50" s="552">
        <f t="shared" si="4"/>
        <v>0</v>
      </c>
      <c r="F50" s="242">
        <f t="shared" si="5"/>
        <v>100</v>
      </c>
    </row>
    <row r="51" spans="1:7" s="335" customFormat="1" ht="39.6">
      <c r="A51" s="216" t="s">
        <v>199</v>
      </c>
      <c r="B51" s="259" t="s">
        <v>914</v>
      </c>
      <c r="C51" s="553">
        <v>11624</v>
      </c>
      <c r="D51" s="553">
        <f>6924+4700</f>
        <v>11624</v>
      </c>
      <c r="E51" s="552">
        <f t="shared" si="4"/>
        <v>0</v>
      </c>
      <c r="F51" s="242">
        <f t="shared" si="5"/>
        <v>100</v>
      </c>
    </row>
    <row r="52" spans="1:7" s="335" customFormat="1" ht="26.4">
      <c r="A52" s="216" t="s">
        <v>246</v>
      </c>
      <c r="B52" s="259" t="s">
        <v>915</v>
      </c>
      <c r="C52" s="553">
        <v>599</v>
      </c>
      <c r="D52" s="555">
        <v>599</v>
      </c>
      <c r="E52" s="552">
        <f t="shared" si="4"/>
        <v>0</v>
      </c>
      <c r="F52" s="242">
        <f t="shared" si="5"/>
        <v>100</v>
      </c>
    </row>
    <row r="53" spans="1:7" s="335" customFormat="1" ht="26.4">
      <c r="A53" s="216" t="s">
        <v>247</v>
      </c>
      <c r="B53" s="259" t="s">
        <v>916</v>
      </c>
      <c r="C53" s="553">
        <v>440</v>
      </c>
      <c r="D53" s="555">
        <v>440</v>
      </c>
      <c r="E53" s="552">
        <f t="shared" si="4"/>
        <v>0</v>
      </c>
      <c r="F53" s="242">
        <f t="shared" si="5"/>
        <v>100</v>
      </c>
    </row>
    <row r="54" spans="1:7" s="335" customFormat="1">
      <c r="A54" s="216" t="s">
        <v>248</v>
      </c>
      <c r="B54" s="259" t="s">
        <v>917</v>
      </c>
      <c r="C54" s="553">
        <v>51</v>
      </c>
      <c r="D54" s="555">
        <v>51</v>
      </c>
      <c r="E54" s="552">
        <f t="shared" si="4"/>
        <v>0</v>
      </c>
      <c r="F54" s="242">
        <f t="shared" si="5"/>
        <v>100</v>
      </c>
    </row>
    <row r="55" spans="1:7" s="335" customFormat="1" ht="14.4" customHeight="1">
      <c r="A55" s="216" t="s">
        <v>249</v>
      </c>
      <c r="B55" s="214" t="s">
        <v>918</v>
      </c>
      <c r="C55" s="552">
        <v>493</v>
      </c>
      <c r="D55" s="552">
        <v>493</v>
      </c>
      <c r="E55" s="552">
        <f t="shared" si="4"/>
        <v>0</v>
      </c>
      <c r="F55" s="242">
        <f t="shared" si="5"/>
        <v>100</v>
      </c>
      <c r="G55" s="537"/>
    </row>
    <row r="56" spans="1:7" s="335" customFormat="1">
      <c r="A56" s="216" t="s">
        <v>328</v>
      </c>
      <c r="B56" s="214" t="s">
        <v>919</v>
      </c>
      <c r="C56" s="552">
        <v>133</v>
      </c>
      <c r="D56" s="552">
        <v>133</v>
      </c>
      <c r="E56" s="552">
        <f t="shared" si="4"/>
        <v>0</v>
      </c>
      <c r="F56" s="242">
        <f t="shared" si="5"/>
        <v>100</v>
      </c>
      <c r="G56" s="537"/>
    </row>
    <row r="57" spans="1:7" s="335" customFormat="1" ht="16.8" customHeight="1">
      <c r="A57" s="216" t="s">
        <v>329</v>
      </c>
      <c r="B57" s="214" t="s">
        <v>920</v>
      </c>
      <c r="C57" s="552">
        <v>196</v>
      </c>
      <c r="D57" s="552">
        <v>196</v>
      </c>
      <c r="E57" s="552">
        <f t="shared" si="4"/>
        <v>0</v>
      </c>
      <c r="F57" s="242">
        <f t="shared" si="5"/>
        <v>100</v>
      </c>
      <c r="G57" s="537"/>
    </row>
    <row r="58" spans="1:7" s="335" customFormat="1" ht="25.8" customHeight="1">
      <c r="A58" s="216" t="s">
        <v>330</v>
      </c>
      <c r="B58" s="214" t="s">
        <v>921</v>
      </c>
      <c r="C58" s="552">
        <v>179</v>
      </c>
      <c r="D58" s="552">
        <v>179</v>
      </c>
      <c r="E58" s="552">
        <f t="shared" si="4"/>
        <v>0</v>
      </c>
      <c r="F58" s="242">
        <f t="shared" si="5"/>
        <v>100</v>
      </c>
      <c r="G58" s="537"/>
    </row>
    <row r="59" spans="1:7" ht="19.8" customHeight="1">
      <c r="A59" s="216"/>
      <c r="B59" s="336" t="s">
        <v>251</v>
      </c>
      <c r="C59" s="243">
        <f>SUM(C60:C64)</f>
        <v>180065</v>
      </c>
      <c r="D59" s="243">
        <f>SUM(D60:D64)</f>
        <v>180065</v>
      </c>
      <c r="E59" s="243">
        <f>D59-C59</f>
        <v>0</v>
      </c>
      <c r="F59" s="333">
        <f>D59/C59*100</f>
        <v>100</v>
      </c>
    </row>
    <row r="60" spans="1:7" ht="22.2" customHeight="1">
      <c r="A60" s="216" t="s">
        <v>11</v>
      </c>
      <c r="B60" s="214" t="s">
        <v>922</v>
      </c>
      <c r="C60" s="552">
        <v>312</v>
      </c>
      <c r="D60" s="555">
        <v>312</v>
      </c>
      <c r="E60" s="552">
        <f t="shared" ref="E60:E65" si="6">D60-C60</f>
        <v>0</v>
      </c>
      <c r="F60" s="242">
        <f>D60/C60*100</f>
        <v>100</v>
      </c>
    </row>
    <row r="61" spans="1:7" ht="26.4">
      <c r="A61" s="216" t="s">
        <v>12</v>
      </c>
      <c r="B61" s="558" t="s">
        <v>937</v>
      </c>
      <c r="C61" s="554">
        <v>171593</v>
      </c>
      <c r="D61" s="554">
        <f>133490+38103</f>
        <v>171593</v>
      </c>
      <c r="E61" s="552">
        <f t="shared" si="6"/>
        <v>0</v>
      </c>
      <c r="F61" s="242">
        <f t="shared" ref="F61:F65" si="7">D61/C61*100</f>
        <v>100</v>
      </c>
      <c r="G61" s="537"/>
    </row>
    <row r="62" spans="1:7" ht="15" customHeight="1">
      <c r="A62" s="216" t="s">
        <v>27</v>
      </c>
      <c r="B62" s="214" t="s">
        <v>923</v>
      </c>
      <c r="C62" s="552">
        <v>46</v>
      </c>
      <c r="D62" s="555">
        <v>46</v>
      </c>
      <c r="E62" s="552">
        <f t="shared" si="6"/>
        <v>0</v>
      </c>
      <c r="F62" s="242">
        <f t="shared" si="7"/>
        <v>100</v>
      </c>
    </row>
    <row r="63" spans="1:7" ht="16.2" customHeight="1">
      <c r="A63" s="216" t="s">
        <v>28</v>
      </c>
      <c r="B63" s="214" t="s">
        <v>924</v>
      </c>
      <c r="C63" s="552">
        <v>7837</v>
      </c>
      <c r="D63" s="554">
        <f>2376+5461</f>
        <v>7837</v>
      </c>
      <c r="E63" s="552">
        <f t="shared" si="6"/>
        <v>0</v>
      </c>
      <c r="F63" s="242">
        <f t="shared" si="7"/>
        <v>100</v>
      </c>
      <c r="G63" s="537"/>
    </row>
    <row r="64" spans="1:7" ht="15.6" customHeight="1">
      <c r="A64" s="216" t="s">
        <v>29</v>
      </c>
      <c r="B64" s="214" t="s">
        <v>938</v>
      </c>
      <c r="C64" s="552">
        <v>277</v>
      </c>
      <c r="D64" s="554">
        <v>277</v>
      </c>
      <c r="E64" s="552">
        <f t="shared" si="6"/>
        <v>0</v>
      </c>
      <c r="F64" s="242">
        <f t="shared" si="7"/>
        <v>100</v>
      </c>
    </row>
    <row r="65" spans="1:7" ht="16.2" hidden="1" customHeight="1">
      <c r="A65" s="216" t="s">
        <v>30</v>
      </c>
      <c r="B65" s="214" t="s">
        <v>942</v>
      </c>
      <c r="C65" s="552" t="s">
        <v>560</v>
      </c>
      <c r="D65" s="554">
        <v>165</v>
      </c>
      <c r="E65" s="552" t="e">
        <f t="shared" si="6"/>
        <v>#VALUE!</v>
      </c>
      <c r="F65" s="242" t="e">
        <f t="shared" si="7"/>
        <v>#VALUE!</v>
      </c>
      <c r="G65" s="320" t="s">
        <v>943</v>
      </c>
    </row>
    <row r="66" spans="1:7" ht="18" customHeight="1">
      <c r="A66" s="338" t="s">
        <v>651</v>
      </c>
      <c r="B66" s="288" t="s">
        <v>128</v>
      </c>
      <c r="C66" s="243">
        <f>SUM(C67:C75)</f>
        <v>55419</v>
      </c>
      <c r="D66" s="243">
        <f>SUM(D67:D75)</f>
        <v>55312</v>
      </c>
      <c r="E66" s="243">
        <f>D66-C66</f>
        <v>-107</v>
      </c>
      <c r="F66" s="333">
        <f>D66/C66*100</f>
        <v>99.806925422688977</v>
      </c>
    </row>
    <row r="67" spans="1:7" ht="13.2" customHeight="1">
      <c r="A67" s="338" t="s">
        <v>201</v>
      </c>
      <c r="B67" s="259" t="s">
        <v>611</v>
      </c>
      <c r="C67" s="553">
        <v>10660</v>
      </c>
      <c r="D67" s="552">
        <v>10660</v>
      </c>
      <c r="E67" s="552">
        <f t="shared" ref="E67:E75" si="8">D67-C67</f>
        <v>0</v>
      </c>
      <c r="F67" s="242">
        <f>D67/C67*100</f>
        <v>100</v>
      </c>
    </row>
    <row r="68" spans="1:7">
      <c r="A68" s="338" t="s">
        <v>202</v>
      </c>
      <c r="B68" s="259" t="s">
        <v>952</v>
      </c>
      <c r="C68" s="553">
        <v>6574</v>
      </c>
      <c r="D68" s="553">
        <v>6574</v>
      </c>
      <c r="E68" s="552">
        <f t="shared" si="8"/>
        <v>0</v>
      </c>
      <c r="F68" s="242">
        <f t="shared" ref="F68:F75" si="9">D68/C68*100</f>
        <v>100</v>
      </c>
    </row>
    <row r="69" spans="1:7" ht="26.4">
      <c r="A69" s="338" t="s">
        <v>203</v>
      </c>
      <c r="B69" s="259" t="s">
        <v>612</v>
      </c>
      <c r="C69" s="553">
        <v>10751</v>
      </c>
      <c r="D69" s="553">
        <f>6800+3951</f>
        <v>10751</v>
      </c>
      <c r="E69" s="552">
        <f t="shared" si="8"/>
        <v>0</v>
      </c>
      <c r="F69" s="242">
        <f t="shared" si="9"/>
        <v>100</v>
      </c>
    </row>
    <row r="70" spans="1:7" ht="14.4" customHeight="1">
      <c r="A70" s="338" t="s">
        <v>204</v>
      </c>
      <c r="B70" s="259" t="s">
        <v>940</v>
      </c>
      <c r="C70" s="553">
        <v>15692</v>
      </c>
      <c r="D70" s="536">
        <v>15692</v>
      </c>
      <c r="E70" s="552">
        <f t="shared" si="8"/>
        <v>0</v>
      </c>
      <c r="F70" s="242">
        <f t="shared" si="9"/>
        <v>100</v>
      </c>
    </row>
    <row r="71" spans="1:7" s="339" customFormat="1" ht="13.8" customHeight="1">
      <c r="A71" s="338" t="s">
        <v>205</v>
      </c>
      <c r="B71" s="259" t="s">
        <v>614</v>
      </c>
      <c r="C71" s="553">
        <v>1696</v>
      </c>
      <c r="D71" s="553">
        <v>1696</v>
      </c>
      <c r="E71" s="552">
        <f t="shared" si="8"/>
        <v>0</v>
      </c>
      <c r="F71" s="242">
        <f t="shared" si="9"/>
        <v>100</v>
      </c>
    </row>
    <row r="72" spans="1:7" s="339" customFormat="1" ht="14.4" customHeight="1">
      <c r="A72" s="338" t="s">
        <v>206</v>
      </c>
      <c r="B72" s="259" t="s">
        <v>615</v>
      </c>
      <c r="C72" s="553">
        <v>693</v>
      </c>
      <c r="D72" s="555">
        <v>693</v>
      </c>
      <c r="E72" s="552">
        <f t="shared" si="8"/>
        <v>0</v>
      </c>
      <c r="F72" s="242">
        <f t="shared" si="9"/>
        <v>100</v>
      </c>
    </row>
    <row r="73" spans="1:7" s="339" customFormat="1" ht="13.8">
      <c r="A73" s="338" t="s">
        <v>207</v>
      </c>
      <c r="B73" s="259" t="s">
        <v>763</v>
      </c>
      <c r="C73" s="552">
        <v>347</v>
      </c>
      <c r="D73" s="554">
        <v>347</v>
      </c>
      <c r="E73" s="552">
        <f t="shared" si="8"/>
        <v>0</v>
      </c>
      <c r="F73" s="242">
        <f t="shared" si="9"/>
        <v>100</v>
      </c>
    </row>
    <row r="74" spans="1:7" s="339" customFormat="1" ht="13.8">
      <c r="A74" s="338" t="s">
        <v>129</v>
      </c>
      <c r="B74" s="259" t="s">
        <v>775</v>
      </c>
      <c r="C74" s="552">
        <v>5428</v>
      </c>
      <c r="D74" s="554">
        <v>5428</v>
      </c>
      <c r="E74" s="552">
        <f t="shared" si="8"/>
        <v>0</v>
      </c>
      <c r="F74" s="242">
        <f t="shared" si="9"/>
        <v>100</v>
      </c>
    </row>
    <row r="75" spans="1:7" s="339" customFormat="1" ht="26.4">
      <c r="A75" s="338" t="s">
        <v>208</v>
      </c>
      <c r="B75" s="259" t="s">
        <v>939</v>
      </c>
      <c r="C75" s="552">
        <v>3578</v>
      </c>
      <c r="D75" s="554">
        <v>3471</v>
      </c>
      <c r="E75" s="552">
        <f t="shared" si="8"/>
        <v>-107</v>
      </c>
      <c r="F75" s="242">
        <f t="shared" si="9"/>
        <v>97.009502515371722</v>
      </c>
    </row>
    <row r="76" spans="1:7">
      <c r="A76" s="338"/>
      <c r="B76" s="288" t="s">
        <v>134</v>
      </c>
      <c r="C76" s="243">
        <f>SUM(C77:C90)</f>
        <v>1968</v>
      </c>
      <c r="D76" s="243">
        <f t="shared" ref="D76" si="10">SUM(D77:D90)</f>
        <v>1968</v>
      </c>
      <c r="E76" s="243">
        <f>D76-C76</f>
        <v>0</v>
      </c>
      <c r="F76" s="333">
        <f>D76/C76*100</f>
        <v>100</v>
      </c>
    </row>
    <row r="77" spans="1:7" s="339" customFormat="1" ht="14.4" customHeight="1">
      <c r="A77" s="338" t="s">
        <v>259</v>
      </c>
      <c r="B77" s="214" t="s">
        <v>925</v>
      </c>
      <c r="C77" s="244">
        <v>121</v>
      </c>
      <c r="D77" s="244">
        <v>121</v>
      </c>
      <c r="E77" s="552">
        <f t="shared" ref="E77:E90" si="11">D77-C77</f>
        <v>0</v>
      </c>
      <c r="F77" s="242">
        <f>D77/C77*100</f>
        <v>100</v>
      </c>
    </row>
    <row r="78" spans="1:7" s="339" customFormat="1" ht="13.8">
      <c r="A78" s="338" t="s">
        <v>260</v>
      </c>
      <c r="B78" s="262" t="s">
        <v>926</v>
      </c>
      <c r="C78" s="244">
        <v>162</v>
      </c>
      <c r="D78" s="244">
        <v>162</v>
      </c>
      <c r="E78" s="552">
        <f t="shared" si="11"/>
        <v>0</v>
      </c>
      <c r="F78" s="242">
        <f t="shared" ref="F78:F90" si="12">D78/C78*100</f>
        <v>100</v>
      </c>
    </row>
    <row r="79" spans="1:7" s="339" customFormat="1" ht="13.8">
      <c r="A79" s="338" t="s">
        <v>261</v>
      </c>
      <c r="B79" s="262" t="s">
        <v>927</v>
      </c>
      <c r="C79" s="244">
        <v>35</v>
      </c>
      <c r="D79" s="244">
        <v>35</v>
      </c>
      <c r="E79" s="552">
        <f t="shared" si="11"/>
        <v>0</v>
      </c>
      <c r="F79" s="242">
        <f t="shared" si="12"/>
        <v>100</v>
      </c>
    </row>
    <row r="80" spans="1:7" s="339" customFormat="1" ht="13.8">
      <c r="A80" s="338" t="s">
        <v>262</v>
      </c>
      <c r="B80" s="262" t="s">
        <v>928</v>
      </c>
      <c r="C80" s="244">
        <v>29</v>
      </c>
      <c r="D80" s="244">
        <v>29</v>
      </c>
      <c r="E80" s="552">
        <f t="shared" si="11"/>
        <v>0</v>
      </c>
      <c r="F80" s="242">
        <f t="shared" si="12"/>
        <v>100</v>
      </c>
    </row>
    <row r="81" spans="1:6" s="339" customFormat="1" ht="13.8">
      <c r="A81" s="338" t="s">
        <v>263</v>
      </c>
      <c r="B81" s="262" t="s">
        <v>929</v>
      </c>
      <c r="C81" s="244">
        <v>64</v>
      </c>
      <c r="D81" s="244">
        <v>64</v>
      </c>
      <c r="E81" s="552">
        <f t="shared" si="11"/>
        <v>0</v>
      </c>
      <c r="F81" s="242">
        <f t="shared" si="12"/>
        <v>100</v>
      </c>
    </row>
    <row r="82" spans="1:6" s="339" customFormat="1" ht="13.8">
      <c r="A82" s="338" t="s">
        <v>264</v>
      </c>
      <c r="B82" s="262" t="s">
        <v>930</v>
      </c>
      <c r="C82" s="374">
        <v>39</v>
      </c>
      <c r="D82" s="374">
        <v>39</v>
      </c>
      <c r="E82" s="552">
        <f t="shared" si="11"/>
        <v>0</v>
      </c>
      <c r="F82" s="242">
        <f t="shared" si="12"/>
        <v>100</v>
      </c>
    </row>
    <row r="83" spans="1:6" s="339" customFormat="1" ht="13.8">
      <c r="A83" s="338" t="s">
        <v>265</v>
      </c>
      <c r="B83" s="262" t="s">
        <v>931</v>
      </c>
      <c r="C83" s="244">
        <v>100</v>
      </c>
      <c r="D83" s="244">
        <v>100</v>
      </c>
      <c r="E83" s="552">
        <f t="shared" si="11"/>
        <v>0</v>
      </c>
      <c r="F83" s="242">
        <f t="shared" si="12"/>
        <v>100</v>
      </c>
    </row>
    <row r="84" spans="1:6" s="339" customFormat="1" ht="13.8">
      <c r="A84" s="338" t="s">
        <v>266</v>
      </c>
      <c r="B84" s="262" t="s">
        <v>949</v>
      </c>
      <c r="C84" s="374">
        <v>76</v>
      </c>
      <c r="D84" s="374">
        <v>76</v>
      </c>
      <c r="E84" s="552">
        <f t="shared" si="11"/>
        <v>0</v>
      </c>
      <c r="F84" s="242">
        <f t="shared" si="12"/>
        <v>100</v>
      </c>
    </row>
    <row r="85" spans="1:6" s="339" customFormat="1" ht="12.6" customHeight="1">
      <c r="A85" s="338" t="s">
        <v>267</v>
      </c>
      <c r="B85" s="262" t="s">
        <v>932</v>
      </c>
      <c r="C85" s="374">
        <v>77</v>
      </c>
      <c r="D85" s="374">
        <v>77</v>
      </c>
      <c r="E85" s="552">
        <f t="shared" si="11"/>
        <v>0</v>
      </c>
      <c r="F85" s="242">
        <f t="shared" si="12"/>
        <v>100</v>
      </c>
    </row>
    <row r="86" spans="1:6" s="339" customFormat="1" ht="13.2" customHeight="1">
      <c r="A86" s="338" t="s">
        <v>268</v>
      </c>
      <c r="B86" s="540" t="s">
        <v>951</v>
      </c>
      <c r="C86" s="538">
        <f>165+58</f>
        <v>223</v>
      </c>
      <c r="D86" s="538">
        <f>165+58</f>
        <v>223</v>
      </c>
      <c r="E86" s="552">
        <f t="shared" si="11"/>
        <v>0</v>
      </c>
      <c r="F86" s="242">
        <f t="shared" si="12"/>
        <v>100</v>
      </c>
    </row>
    <row r="87" spans="1:6" s="339" customFormat="1" ht="13.2" customHeight="1">
      <c r="A87" s="338" t="s">
        <v>269</v>
      </c>
      <c r="B87" s="540" t="s">
        <v>950</v>
      </c>
      <c r="C87" s="538">
        <v>360</v>
      </c>
      <c r="D87" s="538">
        <v>360</v>
      </c>
      <c r="E87" s="552">
        <f t="shared" si="11"/>
        <v>0</v>
      </c>
      <c r="F87" s="242">
        <f t="shared" si="12"/>
        <v>100</v>
      </c>
    </row>
    <row r="88" spans="1:6" s="339" customFormat="1" ht="13.8">
      <c r="A88" s="338" t="s">
        <v>485</v>
      </c>
      <c r="B88" s="535" t="s">
        <v>933</v>
      </c>
      <c r="C88" s="374">
        <v>171</v>
      </c>
      <c r="D88" s="374">
        <v>171</v>
      </c>
      <c r="E88" s="552">
        <f t="shared" si="11"/>
        <v>0</v>
      </c>
      <c r="F88" s="242">
        <f t="shared" si="12"/>
        <v>100</v>
      </c>
    </row>
    <row r="89" spans="1:6" s="339" customFormat="1" ht="13.8">
      <c r="A89" s="338" t="s">
        <v>487</v>
      </c>
      <c r="B89" s="262" t="s">
        <v>934</v>
      </c>
      <c r="C89" s="374">
        <v>50</v>
      </c>
      <c r="D89" s="374">
        <v>50</v>
      </c>
      <c r="E89" s="552">
        <f t="shared" si="11"/>
        <v>0</v>
      </c>
      <c r="F89" s="242">
        <f t="shared" si="12"/>
        <v>100</v>
      </c>
    </row>
    <row r="90" spans="1:6" s="339" customFormat="1" ht="13.8">
      <c r="A90" s="338" t="s">
        <v>492</v>
      </c>
      <c r="B90" s="262" t="s">
        <v>941</v>
      </c>
      <c r="C90" s="538">
        <v>461</v>
      </c>
      <c r="D90" s="538">
        <v>461</v>
      </c>
      <c r="E90" s="552">
        <f t="shared" si="11"/>
        <v>0</v>
      </c>
      <c r="F90" s="242">
        <f t="shared" si="12"/>
        <v>100</v>
      </c>
    </row>
    <row r="91" spans="1:6" ht="21" customHeight="1">
      <c r="A91" s="338"/>
      <c r="B91" s="549" t="s">
        <v>948</v>
      </c>
      <c r="C91" s="243">
        <f>C8+C16+C37+C46+C59+C66+C76</f>
        <v>1240818</v>
      </c>
      <c r="D91" s="243">
        <f>D8+D16+D37+D46+D59+D66+D76</f>
        <v>1242836</v>
      </c>
      <c r="E91" s="327">
        <f>D91-C91</f>
        <v>2018</v>
      </c>
      <c r="F91" s="541">
        <f>D91/C91*100</f>
        <v>100.16263464907826</v>
      </c>
    </row>
    <row r="92" spans="1:6">
      <c r="A92" s="531"/>
      <c r="B92" s="532"/>
      <c r="C92" s="533"/>
      <c r="D92" s="542"/>
      <c r="E92" s="534"/>
      <c r="F92" s="534"/>
    </row>
    <row r="93" spans="1:6">
      <c r="A93" s="588"/>
      <c r="B93" s="588"/>
      <c r="C93" s="588"/>
      <c r="D93" s="588"/>
      <c r="E93" s="588"/>
      <c r="F93" s="588"/>
    </row>
    <row r="94" spans="1:6">
      <c r="A94" s="588"/>
      <c r="B94" s="588"/>
      <c r="C94" s="588"/>
      <c r="D94" s="588"/>
      <c r="E94" s="588"/>
      <c r="F94" s="588"/>
    </row>
    <row r="95" spans="1:6">
      <c r="A95" s="348"/>
      <c r="B95" s="348"/>
    </row>
    <row r="99" spans="2:6">
      <c r="B99" s="589"/>
      <c r="C99" s="589"/>
      <c r="D99" s="589"/>
      <c r="E99" s="589"/>
      <c r="F99" s="589"/>
    </row>
  </sheetData>
  <mergeCells count="11">
    <mergeCell ref="A93:F94"/>
    <mergeCell ref="B99:F99"/>
    <mergeCell ref="B1:F1"/>
    <mergeCell ref="A2:F2"/>
    <mergeCell ref="E4:F4"/>
    <mergeCell ref="A5:A6"/>
    <mergeCell ref="B5:B6"/>
    <mergeCell ref="C5:C6"/>
    <mergeCell ref="D5:D6"/>
    <mergeCell ref="E5:E6"/>
    <mergeCell ref="F5:F6"/>
  </mergeCells>
  <pageMargins left="0.35433070866141736" right="0.23622047244094491" top="0.47244094488188981" bottom="0.35433070866141736" header="0.31496062992125984" footer="0.31496062992125984"/>
  <pageSetup paperSize="9" scale="95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C00000"/>
  </sheetPr>
  <dimension ref="A1:I101"/>
  <sheetViews>
    <sheetView workbookViewId="0">
      <pane xSplit="2" ySplit="5" topLeftCell="C16" activePane="bottomRight" state="frozen"/>
      <selection pane="topRight" activeCell="C1" sqref="C1"/>
      <selection pane="bottomLeft" activeCell="A5" sqref="A5"/>
      <selection pane="bottomRight" activeCell="J4" sqref="J4"/>
    </sheetView>
  </sheetViews>
  <sheetFormatPr defaultColWidth="9.109375" defaultRowHeight="12"/>
  <cols>
    <col min="1" max="1" width="5" style="408" customWidth="1"/>
    <col min="2" max="2" width="44.33203125" style="408" customWidth="1"/>
    <col min="3" max="3" width="15.6640625" style="408" customWidth="1"/>
    <col min="4" max="4" width="13.33203125" style="504" customWidth="1"/>
    <col min="5" max="5" width="14.88671875" style="505" customWidth="1"/>
    <col min="6" max="6" width="10.5546875" style="505" customWidth="1"/>
    <col min="7" max="7" width="0.109375" style="454" hidden="1" customWidth="1"/>
    <col min="8" max="8" width="14.33203125" style="408" hidden="1" customWidth="1"/>
    <col min="9" max="9" width="17.21875" style="408" hidden="1" customWidth="1"/>
    <col min="10" max="16384" width="9.109375" style="408"/>
  </cols>
  <sheetData>
    <row r="1" spans="1:9" ht="15.75" customHeight="1">
      <c r="A1" s="455"/>
      <c r="B1" s="576" t="s">
        <v>638</v>
      </c>
      <c r="C1" s="576"/>
      <c r="D1" s="576"/>
      <c r="E1" s="576"/>
      <c r="F1" s="576"/>
      <c r="G1" s="576"/>
      <c r="H1" s="576"/>
      <c r="I1" s="576"/>
    </row>
    <row r="2" spans="1:9" ht="15.75" customHeight="1">
      <c r="A2" s="576" t="s">
        <v>754</v>
      </c>
      <c r="B2" s="576"/>
      <c r="C2" s="576"/>
      <c r="D2" s="576"/>
      <c r="E2" s="576"/>
      <c r="F2" s="576"/>
      <c r="G2" s="576"/>
      <c r="H2" s="576"/>
      <c r="I2" s="576"/>
    </row>
    <row r="3" spans="1:9" ht="15.75" customHeight="1">
      <c r="A3" s="512"/>
      <c r="B3" s="512"/>
      <c r="C3" s="512"/>
      <c r="D3" s="512"/>
      <c r="E3" s="512"/>
      <c r="F3" s="512"/>
      <c r="G3" s="512"/>
      <c r="H3" s="512"/>
      <c r="I3" s="512"/>
    </row>
    <row r="4" spans="1:9" ht="15.75" customHeight="1">
      <c r="A4" s="512"/>
      <c r="B4" s="512" t="s">
        <v>800</v>
      </c>
      <c r="C4" s="527"/>
      <c r="D4" s="512"/>
      <c r="E4" s="577" t="s">
        <v>883</v>
      </c>
      <c r="F4" s="577"/>
      <c r="G4" s="577"/>
      <c r="H4" s="577"/>
      <c r="I4" s="512"/>
    </row>
    <row r="5" spans="1:9" ht="30" customHeight="1">
      <c r="A5" s="457"/>
      <c r="B5" s="447" t="s">
        <v>84</v>
      </c>
      <c r="C5" s="447" t="s">
        <v>639</v>
      </c>
      <c r="D5" s="447" t="s">
        <v>640</v>
      </c>
      <c r="E5" s="447" t="s">
        <v>641</v>
      </c>
      <c r="F5" s="447" t="s">
        <v>828</v>
      </c>
      <c r="G5" s="447" t="s">
        <v>636</v>
      </c>
      <c r="H5" s="447" t="s">
        <v>643</v>
      </c>
      <c r="I5" s="447" t="s">
        <v>652</v>
      </c>
    </row>
    <row r="6" spans="1:9" ht="17.399999999999999" customHeight="1">
      <c r="A6" s="457"/>
      <c r="B6" s="458" t="s">
        <v>821</v>
      </c>
      <c r="C6" s="448"/>
      <c r="D6" s="444"/>
      <c r="E6" s="444"/>
      <c r="F6" s="444"/>
      <c r="G6" s="448"/>
      <c r="H6" s="448"/>
      <c r="I6" s="447"/>
    </row>
    <row r="7" spans="1:9" s="463" customFormat="1" ht="50.4" customHeight="1">
      <c r="A7" s="436" t="s">
        <v>645</v>
      </c>
      <c r="B7" s="459" t="s">
        <v>220</v>
      </c>
      <c r="C7" s="444">
        <f>SUM(C8:C16)</f>
        <v>440139</v>
      </c>
      <c r="D7" s="444">
        <f>SUM(D8:D16)</f>
        <v>106195</v>
      </c>
      <c r="E7" s="444">
        <f>D7-C7</f>
        <v>-333944</v>
      </c>
      <c r="F7" s="445">
        <f t="shared" ref="F7:F12" si="0">D7/C7*100</f>
        <v>24.127605142920757</v>
      </c>
      <c r="G7" s="430" t="s">
        <v>890</v>
      </c>
      <c r="H7" s="461"/>
      <c r="I7" s="507" t="s">
        <v>653</v>
      </c>
    </row>
    <row r="8" spans="1:9" s="463" customFormat="1" ht="34.950000000000003" customHeight="1">
      <c r="A8" s="436" t="s">
        <v>729</v>
      </c>
      <c r="B8" s="429" t="s">
        <v>819</v>
      </c>
      <c r="C8" s="506">
        <v>51064</v>
      </c>
      <c r="D8" s="508">
        <v>5002</v>
      </c>
      <c r="E8" s="506">
        <f>D8-C8</f>
        <v>-46062</v>
      </c>
      <c r="F8" s="443">
        <f t="shared" si="0"/>
        <v>9.795550681497728</v>
      </c>
      <c r="G8" s="430" t="s">
        <v>829</v>
      </c>
      <c r="H8" s="578" t="s">
        <v>627</v>
      </c>
      <c r="I8" s="507"/>
    </row>
    <row r="9" spans="1:9" s="463" customFormat="1" ht="63" customHeight="1">
      <c r="A9" s="436" t="s">
        <v>730</v>
      </c>
      <c r="B9" s="429" t="s">
        <v>739</v>
      </c>
      <c r="C9" s="506">
        <v>35404</v>
      </c>
      <c r="D9" s="506"/>
      <c r="E9" s="506">
        <f t="shared" ref="E9:E12" si="1">D9-C9</f>
        <v>-35404</v>
      </c>
      <c r="F9" s="443">
        <f t="shared" si="0"/>
        <v>0</v>
      </c>
      <c r="G9" s="430" t="s">
        <v>749</v>
      </c>
      <c r="H9" s="578"/>
      <c r="I9" s="507"/>
    </row>
    <row r="10" spans="1:9" s="463" customFormat="1" ht="37.950000000000003" customHeight="1">
      <c r="A10" s="436" t="s">
        <v>731</v>
      </c>
      <c r="B10" s="429" t="s">
        <v>740</v>
      </c>
      <c r="C10" s="506">
        <v>31776</v>
      </c>
      <c r="D10" s="506">
        <v>2833</v>
      </c>
      <c r="E10" s="506">
        <f t="shared" si="1"/>
        <v>-28943</v>
      </c>
      <c r="F10" s="443">
        <f t="shared" si="0"/>
        <v>8.9155337361530709</v>
      </c>
      <c r="G10" s="430" t="s">
        <v>830</v>
      </c>
      <c r="H10" s="578"/>
      <c r="I10" s="507"/>
    </row>
    <row r="11" spans="1:9" s="463" customFormat="1" ht="62.4" customHeight="1">
      <c r="A11" s="436" t="s">
        <v>732</v>
      </c>
      <c r="B11" s="429" t="s">
        <v>741</v>
      </c>
      <c r="C11" s="506">
        <v>58441</v>
      </c>
      <c r="D11" s="506">
        <v>15097</v>
      </c>
      <c r="E11" s="506">
        <f>36270-C11</f>
        <v>-22171</v>
      </c>
      <c r="F11" s="443">
        <f>36270/C11*100</f>
        <v>62.062593042555733</v>
      </c>
      <c r="G11" s="430" t="s">
        <v>861</v>
      </c>
      <c r="H11" s="578"/>
      <c r="I11" s="507"/>
    </row>
    <row r="12" spans="1:9" s="463" customFormat="1" ht="59.4" customHeight="1">
      <c r="A12" s="436" t="s">
        <v>733</v>
      </c>
      <c r="B12" s="429" t="s">
        <v>742</v>
      </c>
      <c r="C12" s="506">
        <v>60207</v>
      </c>
      <c r="D12" s="518"/>
      <c r="E12" s="506">
        <f t="shared" si="1"/>
        <v>-60207</v>
      </c>
      <c r="F12" s="443">
        <f t="shared" si="0"/>
        <v>0</v>
      </c>
      <c r="G12" s="430" t="s">
        <v>866</v>
      </c>
      <c r="H12" s="578"/>
      <c r="I12" s="507"/>
    </row>
    <row r="13" spans="1:9" s="463" customFormat="1" ht="61.2" customHeight="1">
      <c r="A13" s="436" t="s">
        <v>734</v>
      </c>
      <c r="B13" s="429" t="s">
        <v>743</v>
      </c>
      <c r="C13" s="506">
        <v>84280</v>
      </c>
      <c r="D13" s="506">
        <v>39497</v>
      </c>
      <c r="E13" s="506">
        <f>70286-C13</f>
        <v>-13994</v>
      </c>
      <c r="F13" s="443">
        <f>70286/C13*100</f>
        <v>83.395823445657342</v>
      </c>
      <c r="G13" s="430" t="s">
        <v>862</v>
      </c>
      <c r="H13" s="578"/>
      <c r="I13" s="507"/>
    </row>
    <row r="14" spans="1:9" s="463" customFormat="1" ht="60.6" customHeight="1">
      <c r="A14" s="436" t="s">
        <v>735</v>
      </c>
      <c r="B14" s="429" t="s">
        <v>744</v>
      </c>
      <c r="C14" s="506">
        <v>118967</v>
      </c>
      <c r="D14" s="506">
        <f>12563+4050+25048</f>
        <v>41661</v>
      </c>
      <c r="E14" s="506">
        <f>51143-C14</f>
        <v>-67824</v>
      </c>
      <c r="F14" s="443">
        <f>51143/C14*100</f>
        <v>42.989232308119057</v>
      </c>
      <c r="G14" s="430" t="s">
        <v>891</v>
      </c>
      <c r="H14" s="578"/>
      <c r="I14" s="507"/>
    </row>
    <row r="15" spans="1:9" s="463" customFormat="1" ht="47.4" customHeight="1">
      <c r="A15" s="436" t="s">
        <v>736</v>
      </c>
      <c r="B15" s="430" t="s">
        <v>745</v>
      </c>
      <c r="C15" s="506" t="s">
        <v>560</v>
      </c>
      <c r="D15" s="506">
        <v>688</v>
      </c>
      <c r="E15" s="444"/>
      <c r="F15" s="445"/>
      <c r="G15" s="430" t="s">
        <v>831</v>
      </c>
      <c r="H15" s="506" t="s">
        <v>629</v>
      </c>
      <c r="I15" s="507"/>
    </row>
    <row r="16" spans="1:9" s="463" customFormat="1" ht="49.2" customHeight="1">
      <c r="A16" s="436" t="s">
        <v>737</v>
      </c>
      <c r="B16" s="430" t="s">
        <v>834</v>
      </c>
      <c r="C16" s="506" t="s">
        <v>560</v>
      </c>
      <c r="D16" s="506">
        <v>1417</v>
      </c>
      <c r="E16" s="444"/>
      <c r="F16" s="445"/>
      <c r="G16" s="430" t="s">
        <v>832</v>
      </c>
      <c r="H16" s="506" t="s">
        <v>627</v>
      </c>
      <c r="I16" s="507"/>
    </row>
    <row r="17" spans="1:9" s="465" customFormat="1" ht="38.25" customHeight="1">
      <c r="A17" s="436" t="s">
        <v>646</v>
      </c>
      <c r="B17" s="459" t="s">
        <v>402</v>
      </c>
      <c r="C17" s="448">
        <f>SUM(C18:C36)</f>
        <v>448528</v>
      </c>
      <c r="D17" s="444">
        <f>SUM(D18:D36)</f>
        <v>51627</v>
      </c>
      <c r="E17" s="444"/>
      <c r="F17" s="445"/>
      <c r="G17" s="464"/>
      <c r="H17" s="578" t="s">
        <v>627</v>
      </c>
      <c r="I17" s="507" t="s">
        <v>653</v>
      </c>
    </row>
    <row r="18" spans="1:9" s="465" customFormat="1" ht="47.4" customHeight="1">
      <c r="A18" s="432" t="s">
        <v>186</v>
      </c>
      <c r="B18" s="433" t="s">
        <v>857</v>
      </c>
      <c r="C18" s="271">
        <v>22956</v>
      </c>
      <c r="D18" s="466">
        <v>392</v>
      </c>
      <c r="E18" s="506">
        <f t="shared" ref="E18" si="2">D18-C18</f>
        <v>-22564</v>
      </c>
      <c r="F18" s="443">
        <f t="shared" ref="F18" si="3">D18/C18*100</f>
        <v>1.707614566997735</v>
      </c>
      <c r="G18" s="430" t="s">
        <v>847</v>
      </c>
      <c r="H18" s="578"/>
      <c r="I18" s="507"/>
    </row>
    <row r="19" spans="1:9" s="465" customFormat="1" ht="48.6" customHeight="1">
      <c r="A19" s="434" t="s">
        <v>187</v>
      </c>
      <c r="B19" s="435" t="s">
        <v>806</v>
      </c>
      <c r="C19" s="437">
        <v>7101</v>
      </c>
      <c r="D19" s="506">
        <v>121</v>
      </c>
      <c r="E19" s="506">
        <f>121-C19</f>
        <v>-6980</v>
      </c>
      <c r="F19" s="443">
        <f>121/C19*100</f>
        <v>1.7039853541754684</v>
      </c>
      <c r="G19" s="430" t="s">
        <v>846</v>
      </c>
      <c r="H19" s="578" t="s">
        <v>627</v>
      </c>
      <c r="I19" s="507"/>
    </row>
    <row r="20" spans="1:9" s="465" customFormat="1" ht="49.95" customHeight="1">
      <c r="A20" s="434" t="s">
        <v>221</v>
      </c>
      <c r="B20" s="435" t="s">
        <v>807</v>
      </c>
      <c r="C20" s="437">
        <v>14642</v>
      </c>
      <c r="D20" s="467">
        <v>250</v>
      </c>
      <c r="E20" s="506">
        <f t="shared" ref="E20:E23" si="4">D20-C20</f>
        <v>-14392</v>
      </c>
      <c r="F20" s="443">
        <f t="shared" ref="F20:F23" si="5">D20/C20*100</f>
        <v>1.7074170195328506</v>
      </c>
      <c r="G20" s="431" t="s">
        <v>845</v>
      </c>
      <c r="H20" s="578"/>
      <c r="I20" s="507"/>
    </row>
    <row r="21" spans="1:9" s="465" customFormat="1" ht="49.2" customHeight="1">
      <c r="A21" s="434" t="s">
        <v>222</v>
      </c>
      <c r="B21" s="386" t="s">
        <v>808</v>
      </c>
      <c r="C21" s="437">
        <v>23591</v>
      </c>
      <c r="D21" s="467">
        <v>403</v>
      </c>
      <c r="E21" s="506">
        <f t="shared" si="4"/>
        <v>-23188</v>
      </c>
      <c r="F21" s="443">
        <f t="shared" si="5"/>
        <v>1.7082785808147174</v>
      </c>
      <c r="G21" s="430" t="s">
        <v>844</v>
      </c>
      <c r="H21" s="578"/>
      <c r="I21" s="507"/>
    </row>
    <row r="22" spans="1:9" s="465" customFormat="1" ht="50.4" customHeight="1">
      <c r="A22" s="434" t="s">
        <v>223</v>
      </c>
      <c r="B22" s="386" t="s">
        <v>809</v>
      </c>
      <c r="C22" s="437">
        <v>31842</v>
      </c>
      <c r="D22" s="467">
        <v>544</v>
      </c>
      <c r="E22" s="506">
        <f t="shared" si="4"/>
        <v>-31298</v>
      </c>
      <c r="F22" s="443">
        <f t="shared" si="5"/>
        <v>1.7084353997864454</v>
      </c>
      <c r="G22" s="430" t="s">
        <v>875</v>
      </c>
      <c r="H22" s="578"/>
      <c r="I22" s="507"/>
    </row>
    <row r="23" spans="1:9" s="465" customFormat="1" ht="49.2" customHeight="1">
      <c r="A23" s="434" t="s">
        <v>224</v>
      </c>
      <c r="B23" s="386" t="s">
        <v>810</v>
      </c>
      <c r="C23" s="437">
        <v>29457</v>
      </c>
      <c r="D23" s="467">
        <v>504</v>
      </c>
      <c r="E23" s="506">
        <f t="shared" si="4"/>
        <v>-28953</v>
      </c>
      <c r="F23" s="443">
        <f t="shared" si="5"/>
        <v>1.7109685304002444</v>
      </c>
      <c r="G23" s="430" t="s">
        <v>843</v>
      </c>
      <c r="H23" s="578"/>
      <c r="I23" s="507"/>
    </row>
    <row r="24" spans="1:9" s="465" customFormat="1" ht="60" customHeight="1">
      <c r="A24" s="434" t="s">
        <v>225</v>
      </c>
      <c r="B24" s="386" t="s">
        <v>801</v>
      </c>
      <c r="C24" s="437">
        <v>171352</v>
      </c>
      <c r="D24" s="518">
        <f>2930+12309</f>
        <v>15239</v>
      </c>
      <c r="E24" s="506">
        <f>15239-C24</f>
        <v>-156113</v>
      </c>
      <c r="F24" s="443">
        <f>15239/C24*100</f>
        <v>8.8933890471077088</v>
      </c>
      <c r="G24" s="430" t="s">
        <v>842</v>
      </c>
      <c r="H24" s="578"/>
      <c r="I24" s="507"/>
    </row>
    <row r="25" spans="1:9" s="465" customFormat="1" ht="58.95" customHeight="1">
      <c r="A25" s="434" t="s">
        <v>226</v>
      </c>
      <c r="B25" s="428" t="s">
        <v>804</v>
      </c>
      <c r="C25" s="440">
        <v>846</v>
      </c>
      <c r="D25" s="518">
        <f>14+1204</f>
        <v>1218</v>
      </c>
      <c r="E25" s="506">
        <f>1147-C25</f>
        <v>301</v>
      </c>
      <c r="F25" s="443">
        <f>1147/C25*100</f>
        <v>135.57919621749409</v>
      </c>
      <c r="G25" s="430" t="s">
        <v>884</v>
      </c>
      <c r="H25" s="578"/>
      <c r="I25" s="507"/>
    </row>
    <row r="26" spans="1:9" s="465" customFormat="1" ht="64.95" customHeight="1">
      <c r="A26" s="434" t="s">
        <v>227</v>
      </c>
      <c r="B26" s="428" t="s">
        <v>805</v>
      </c>
      <c r="C26" s="440">
        <v>332</v>
      </c>
      <c r="D26" s="518">
        <f>6+1179</f>
        <v>1185</v>
      </c>
      <c r="E26" s="506">
        <f>1115-C26</f>
        <v>783</v>
      </c>
      <c r="F26" s="443">
        <f>1115/C26*100</f>
        <v>335.84337349397589</v>
      </c>
      <c r="G26" s="430" t="s">
        <v>885</v>
      </c>
      <c r="H26" s="578"/>
      <c r="I26" s="507"/>
    </row>
    <row r="27" spans="1:9" s="465" customFormat="1" ht="52.95" customHeight="1">
      <c r="A27" s="434" t="s">
        <v>228</v>
      </c>
      <c r="B27" s="387" t="s">
        <v>811</v>
      </c>
      <c r="C27" s="437">
        <v>14085</v>
      </c>
      <c r="D27" s="506">
        <v>241</v>
      </c>
      <c r="E27" s="506">
        <f t="shared" ref="E27:E30" si="6">D27-C27</f>
        <v>-13844</v>
      </c>
      <c r="F27" s="443">
        <f t="shared" ref="F27:F30" si="7">D27/C27*100</f>
        <v>1.711040113596024</v>
      </c>
      <c r="G27" s="430" t="s">
        <v>863</v>
      </c>
      <c r="H27" s="578"/>
      <c r="I27" s="507"/>
    </row>
    <row r="28" spans="1:9" s="465" customFormat="1" ht="60.75" customHeight="1">
      <c r="A28" s="434" t="s">
        <v>229</v>
      </c>
      <c r="B28" s="386" t="s">
        <v>812</v>
      </c>
      <c r="C28" s="437">
        <v>4330</v>
      </c>
      <c r="D28" s="516">
        <f>74</f>
        <v>74</v>
      </c>
      <c r="E28" s="506">
        <f t="shared" si="6"/>
        <v>-4256</v>
      </c>
      <c r="F28" s="443">
        <f t="shared" si="7"/>
        <v>1.7090069284064664</v>
      </c>
      <c r="G28" s="430" t="s">
        <v>889</v>
      </c>
      <c r="H28" s="578"/>
      <c r="I28" s="507"/>
    </row>
    <row r="29" spans="1:9" s="465" customFormat="1" ht="63.75" customHeight="1">
      <c r="A29" s="434" t="s">
        <v>230</v>
      </c>
      <c r="B29" s="428" t="s">
        <v>816</v>
      </c>
      <c r="C29" s="440">
        <v>28946</v>
      </c>
      <c r="D29" s="516">
        <f>495</f>
        <v>495</v>
      </c>
      <c r="E29" s="506">
        <f t="shared" si="6"/>
        <v>-28451</v>
      </c>
      <c r="F29" s="443">
        <f t="shared" si="7"/>
        <v>1.7100808401851724</v>
      </c>
      <c r="G29" s="430" t="s">
        <v>888</v>
      </c>
      <c r="H29" s="578"/>
      <c r="I29" s="507"/>
    </row>
    <row r="30" spans="1:9" s="465" customFormat="1" ht="46.95" customHeight="1">
      <c r="A30" s="434" t="s">
        <v>231</v>
      </c>
      <c r="B30" s="386" t="s">
        <v>841</v>
      </c>
      <c r="C30" s="437">
        <v>1806</v>
      </c>
      <c r="D30" s="506">
        <v>31</v>
      </c>
      <c r="E30" s="506">
        <f t="shared" si="6"/>
        <v>-1775</v>
      </c>
      <c r="F30" s="443">
        <f t="shared" si="7"/>
        <v>1.7165005537098561</v>
      </c>
      <c r="G30" s="430" t="s">
        <v>851</v>
      </c>
      <c r="H30" s="578"/>
      <c r="I30" s="507"/>
    </row>
    <row r="31" spans="1:9" s="465" customFormat="1" ht="60.6" customHeight="1">
      <c r="A31" s="434" t="s">
        <v>232</v>
      </c>
      <c r="B31" s="427" t="s">
        <v>802</v>
      </c>
      <c r="C31" s="438">
        <v>3939</v>
      </c>
      <c r="D31" s="518">
        <f>67+4912</f>
        <v>4979</v>
      </c>
      <c r="E31" s="506">
        <f>4690-C31</f>
        <v>751</v>
      </c>
      <c r="F31" s="443">
        <f>4690/C31*100</f>
        <v>119.06575272911905</v>
      </c>
      <c r="G31" s="430" t="s">
        <v>886</v>
      </c>
      <c r="H31" s="578"/>
      <c r="I31" s="507"/>
    </row>
    <row r="32" spans="1:9" s="465" customFormat="1" ht="60" customHeight="1">
      <c r="A32" s="434" t="s">
        <v>233</v>
      </c>
      <c r="B32" s="427" t="s">
        <v>803</v>
      </c>
      <c r="C32" s="438">
        <v>24618</v>
      </c>
      <c r="D32" s="518">
        <f>421+24341</f>
        <v>24762</v>
      </c>
      <c r="E32" s="506">
        <f>23328-C32</f>
        <v>-1290</v>
      </c>
      <c r="F32" s="443">
        <f>23328/C32*100</f>
        <v>94.759931757250797</v>
      </c>
      <c r="G32" s="430" t="s">
        <v>887</v>
      </c>
      <c r="H32" s="578" t="s">
        <v>627</v>
      </c>
      <c r="I32" s="507"/>
    </row>
    <row r="33" spans="1:9" s="465" customFormat="1" ht="48" customHeight="1">
      <c r="A33" s="434" t="s">
        <v>234</v>
      </c>
      <c r="B33" s="427" t="s">
        <v>813</v>
      </c>
      <c r="C33" s="271">
        <v>7789</v>
      </c>
      <c r="D33" s="506">
        <v>133</v>
      </c>
      <c r="E33" s="506">
        <f>133-C33</f>
        <v>-7656</v>
      </c>
      <c r="F33" s="443">
        <f>133/C33*100</f>
        <v>1.7075362690974452</v>
      </c>
      <c r="G33" s="430" t="s">
        <v>853</v>
      </c>
      <c r="H33" s="578"/>
      <c r="I33" s="507"/>
    </row>
    <row r="34" spans="1:9" s="465" customFormat="1" ht="49.2" customHeight="1">
      <c r="A34" s="434" t="s">
        <v>235</v>
      </c>
      <c r="B34" s="428" t="s">
        <v>817</v>
      </c>
      <c r="C34" s="440">
        <v>3103</v>
      </c>
      <c r="D34" s="516">
        <f>53</f>
        <v>53</v>
      </c>
      <c r="E34" s="506">
        <f>53-C34</f>
        <v>-3050</v>
      </c>
      <c r="F34" s="443">
        <f>53/C34*100</f>
        <v>1.7080244924266839</v>
      </c>
      <c r="G34" s="430" t="s">
        <v>854</v>
      </c>
      <c r="H34" s="578"/>
      <c r="I34" s="507"/>
    </row>
    <row r="35" spans="1:9" s="465" customFormat="1" ht="48.6" customHeight="1">
      <c r="A35" s="434" t="s">
        <v>236</v>
      </c>
      <c r="B35" s="435" t="s">
        <v>814</v>
      </c>
      <c r="C35" s="439">
        <v>31308</v>
      </c>
      <c r="D35" s="516">
        <f>550</f>
        <v>550</v>
      </c>
      <c r="E35" s="506">
        <f t="shared" ref="E35:E36" si="8">D35-C35</f>
        <v>-30758</v>
      </c>
      <c r="F35" s="443">
        <f t="shared" ref="F35:F36" si="9">D35/C35*100</f>
        <v>1.7567394915037691</v>
      </c>
      <c r="G35" s="430" t="s">
        <v>855</v>
      </c>
      <c r="H35" s="578"/>
      <c r="I35" s="507"/>
    </row>
    <row r="36" spans="1:9" s="465" customFormat="1" ht="47.4" customHeight="1">
      <c r="A36" s="434" t="s">
        <v>237</v>
      </c>
      <c r="B36" s="427" t="s">
        <v>815</v>
      </c>
      <c r="C36" s="438">
        <v>26485</v>
      </c>
      <c r="D36" s="506">
        <v>453</v>
      </c>
      <c r="E36" s="506">
        <f t="shared" si="8"/>
        <v>-26032</v>
      </c>
      <c r="F36" s="443">
        <f t="shared" si="9"/>
        <v>1.7104021144043797</v>
      </c>
      <c r="G36" s="430" t="s">
        <v>856</v>
      </c>
      <c r="H36" s="578"/>
      <c r="I36" s="507"/>
    </row>
    <row r="37" spans="1:9" s="465" customFormat="1" ht="27" customHeight="1">
      <c r="A37" s="468" t="s">
        <v>648</v>
      </c>
      <c r="B37" s="469" t="s">
        <v>119</v>
      </c>
      <c r="C37" s="470">
        <f>C38+C39+C40+C41+C42</f>
        <v>22760</v>
      </c>
      <c r="D37" s="470">
        <f>SUM(D38:D49)</f>
        <v>632.99800000000005</v>
      </c>
      <c r="E37" s="470">
        <f>D37-C37</f>
        <v>-22127.002</v>
      </c>
      <c r="F37" s="470">
        <f>D37/C37*100</f>
        <v>2.7811862917398948</v>
      </c>
      <c r="G37" s="431"/>
      <c r="H37" s="507"/>
      <c r="I37" s="471"/>
    </row>
    <row r="38" spans="1:9" s="465" customFormat="1" ht="24" customHeight="1">
      <c r="A38" s="468" t="s">
        <v>155</v>
      </c>
      <c r="B38" s="430" t="s">
        <v>286</v>
      </c>
      <c r="C38" s="513">
        <v>3856</v>
      </c>
      <c r="D38" s="507">
        <v>0</v>
      </c>
      <c r="E38" s="506">
        <f t="shared" ref="E38:E42" si="10">D38-C38</f>
        <v>-3856</v>
      </c>
      <c r="F38" s="473">
        <f t="shared" ref="F38:F42" si="11">D38/C38*100</f>
        <v>0</v>
      </c>
      <c r="G38" s="446" t="s">
        <v>762</v>
      </c>
      <c r="H38" s="579" t="s">
        <v>628</v>
      </c>
      <c r="I38" s="580" t="s">
        <v>654</v>
      </c>
    </row>
    <row r="39" spans="1:9" s="465" customFormat="1" ht="49.2" customHeight="1">
      <c r="A39" s="468" t="s">
        <v>156</v>
      </c>
      <c r="B39" s="430" t="s">
        <v>288</v>
      </c>
      <c r="C39" s="513">
        <v>1069</v>
      </c>
      <c r="D39" s="390"/>
      <c r="E39" s="506">
        <f t="shared" si="10"/>
        <v>-1069</v>
      </c>
      <c r="F39" s="473">
        <f t="shared" si="11"/>
        <v>0</v>
      </c>
      <c r="G39" s="446" t="s">
        <v>867</v>
      </c>
      <c r="H39" s="579"/>
      <c r="I39" s="581"/>
    </row>
    <row r="40" spans="1:9" s="465" customFormat="1" ht="61.2" customHeight="1">
      <c r="A40" s="468" t="s">
        <v>157</v>
      </c>
      <c r="B40" s="430" t="s">
        <v>820</v>
      </c>
      <c r="C40" s="513">
        <v>14547</v>
      </c>
      <c r="D40" s="506"/>
      <c r="E40" s="473">
        <f t="shared" si="10"/>
        <v>-14547</v>
      </c>
      <c r="F40" s="473">
        <f t="shared" si="11"/>
        <v>0</v>
      </c>
      <c r="G40" s="446" t="s">
        <v>752</v>
      </c>
      <c r="H40" s="511" t="s">
        <v>630</v>
      </c>
      <c r="I40" s="581"/>
    </row>
    <row r="41" spans="1:9" s="475" customFormat="1" ht="50.4" customHeight="1">
      <c r="A41" s="468" t="s">
        <v>158</v>
      </c>
      <c r="B41" s="430" t="s">
        <v>616</v>
      </c>
      <c r="C41" s="513">
        <v>2540</v>
      </c>
      <c r="D41" s="513"/>
      <c r="E41" s="473">
        <f t="shared" si="10"/>
        <v>-2540</v>
      </c>
      <c r="F41" s="473">
        <f t="shared" si="11"/>
        <v>0</v>
      </c>
      <c r="G41" s="446" t="s">
        <v>868</v>
      </c>
      <c r="H41" s="506" t="s">
        <v>629</v>
      </c>
      <c r="I41" s="581"/>
    </row>
    <row r="42" spans="1:9" s="475" customFormat="1" ht="33.6" customHeight="1">
      <c r="A42" s="468" t="s">
        <v>159</v>
      </c>
      <c r="B42" s="430" t="s">
        <v>617</v>
      </c>
      <c r="C42" s="511">
        <f>(1496000/1000)/2</f>
        <v>748</v>
      </c>
      <c r="D42" s="506"/>
      <c r="E42" s="506">
        <f t="shared" si="10"/>
        <v>-748</v>
      </c>
      <c r="F42" s="473">
        <f t="shared" si="11"/>
        <v>0</v>
      </c>
      <c r="G42" s="446" t="s">
        <v>876</v>
      </c>
      <c r="H42" s="583" t="s">
        <v>630</v>
      </c>
      <c r="I42" s="581"/>
    </row>
    <row r="43" spans="1:9" s="475" customFormat="1" ht="17.399999999999999" customHeight="1">
      <c r="A43" s="468" t="s">
        <v>160</v>
      </c>
      <c r="B43" s="430" t="s">
        <v>664</v>
      </c>
      <c r="C43" s="513" t="s">
        <v>560</v>
      </c>
      <c r="D43" s="507">
        <v>454</v>
      </c>
      <c r="E43" s="506"/>
      <c r="F43" s="473"/>
      <c r="G43" s="446" t="s">
        <v>750</v>
      </c>
      <c r="H43" s="583"/>
      <c r="I43" s="581"/>
    </row>
    <row r="44" spans="1:9" s="475" customFormat="1" ht="17.399999999999999" customHeight="1">
      <c r="A44" s="468" t="s">
        <v>161</v>
      </c>
      <c r="B44" s="430" t="s">
        <v>725</v>
      </c>
      <c r="C44" s="513" t="s">
        <v>560</v>
      </c>
      <c r="D44" s="443">
        <v>178.99799999999999</v>
      </c>
      <c r="E44" s="506"/>
      <c r="F44" s="473"/>
      <c r="G44" s="446" t="s">
        <v>750</v>
      </c>
      <c r="H44" s="583"/>
      <c r="I44" s="581"/>
    </row>
    <row r="45" spans="1:9" s="475" customFormat="1" ht="37.950000000000003" customHeight="1">
      <c r="A45" s="468" t="s">
        <v>162</v>
      </c>
      <c r="B45" s="430" t="s">
        <v>665</v>
      </c>
      <c r="C45" s="513" t="s">
        <v>560</v>
      </c>
      <c r="D45" s="443"/>
      <c r="E45" s="506"/>
      <c r="F45" s="473"/>
      <c r="G45" s="446" t="s">
        <v>872</v>
      </c>
      <c r="H45" s="583"/>
      <c r="I45" s="581"/>
    </row>
    <row r="46" spans="1:9" s="475" customFormat="1" ht="35.4" customHeight="1">
      <c r="A46" s="468" t="s">
        <v>163</v>
      </c>
      <c r="B46" s="430" t="s">
        <v>726</v>
      </c>
      <c r="C46" s="513" t="s">
        <v>560</v>
      </c>
      <c r="D46" s="506"/>
      <c r="E46" s="506"/>
      <c r="F46" s="506"/>
      <c r="G46" s="446" t="s">
        <v>822</v>
      </c>
      <c r="H46" s="583"/>
      <c r="I46" s="581"/>
    </row>
    <row r="47" spans="1:9" s="475" customFormat="1" ht="49.95" customHeight="1">
      <c r="A47" s="468" t="s">
        <v>164</v>
      </c>
      <c r="B47" s="430" t="s">
        <v>767</v>
      </c>
      <c r="C47" s="513" t="s">
        <v>560</v>
      </c>
      <c r="D47" s="506"/>
      <c r="E47" s="506"/>
      <c r="F47" s="506"/>
      <c r="G47" s="446" t="s">
        <v>873</v>
      </c>
      <c r="H47" s="583"/>
      <c r="I47" s="582"/>
    </row>
    <row r="48" spans="1:9" s="475" customFormat="1" ht="37.950000000000003" customHeight="1">
      <c r="A48" s="468" t="s">
        <v>165</v>
      </c>
      <c r="B48" s="430" t="s">
        <v>728</v>
      </c>
      <c r="C48" s="513" t="s">
        <v>560</v>
      </c>
      <c r="D48" s="516"/>
      <c r="E48" s="506"/>
      <c r="F48" s="506"/>
      <c r="G48" s="446" t="s">
        <v>897</v>
      </c>
      <c r="H48" s="511" t="s">
        <v>629</v>
      </c>
      <c r="I48" s="510"/>
    </row>
    <row r="49" spans="1:9" s="475" customFormat="1" ht="42" customHeight="1">
      <c r="A49" s="468" t="s">
        <v>166</v>
      </c>
      <c r="B49" s="430" t="s">
        <v>708</v>
      </c>
      <c r="C49" s="513" t="s">
        <v>560</v>
      </c>
      <c r="D49" s="506"/>
      <c r="E49" s="506"/>
      <c r="F49" s="506"/>
      <c r="G49" s="446" t="s">
        <v>878</v>
      </c>
      <c r="H49" s="511" t="s">
        <v>630</v>
      </c>
      <c r="I49" s="510"/>
    </row>
    <row r="50" spans="1:9" s="465" customFormat="1">
      <c r="A50" s="468" t="s">
        <v>649</v>
      </c>
      <c r="B50" s="469" t="s">
        <v>125</v>
      </c>
      <c r="C50" s="477">
        <f>C51+C52+C53+C54+C55+C56+C57+C58</f>
        <v>9443.1</v>
      </c>
      <c r="D50" s="477">
        <f>D51+D52+D53+D54+D55+D56+D57+D58</f>
        <v>7279</v>
      </c>
      <c r="E50" s="477">
        <f>E51+E52+E53+E54+E55+E56+E57+E58</f>
        <v>-2164.1</v>
      </c>
      <c r="F50" s="470">
        <f>D50/C50*100</f>
        <v>77.082737660302229</v>
      </c>
      <c r="G50" s="446"/>
      <c r="H50" s="513"/>
      <c r="I50" s="471"/>
    </row>
    <row r="51" spans="1:9" s="465" customFormat="1" ht="48.75" customHeight="1">
      <c r="A51" s="436" t="s">
        <v>195</v>
      </c>
      <c r="B51" s="430" t="s">
        <v>610</v>
      </c>
      <c r="C51" s="511">
        <v>1140</v>
      </c>
      <c r="D51" s="511">
        <v>1113</v>
      </c>
      <c r="E51" s="506">
        <f>D51-C51</f>
        <v>-27</v>
      </c>
      <c r="F51" s="473">
        <f>D51/C51*100</f>
        <v>97.631578947368425</v>
      </c>
      <c r="G51" s="446" t="s">
        <v>750</v>
      </c>
      <c r="H51" s="572" t="s">
        <v>769</v>
      </c>
      <c r="I51" s="575" t="s">
        <v>653</v>
      </c>
    </row>
    <row r="52" spans="1:9" s="463" customFormat="1" ht="12.6" customHeight="1">
      <c r="A52" s="436" t="s">
        <v>196</v>
      </c>
      <c r="B52" s="430" t="s">
        <v>624</v>
      </c>
      <c r="C52" s="478">
        <v>180</v>
      </c>
      <c r="D52" s="507">
        <v>174</v>
      </c>
      <c r="E52" s="506">
        <f>D52-C52</f>
        <v>-6</v>
      </c>
      <c r="F52" s="473">
        <f t="shared" ref="F52:F79" si="12">D52/C52*100</f>
        <v>96.666666666666671</v>
      </c>
      <c r="G52" s="446" t="s">
        <v>750</v>
      </c>
      <c r="H52" s="573"/>
      <c r="I52" s="575"/>
    </row>
    <row r="53" spans="1:9" s="463" customFormat="1" ht="26.4" customHeight="1">
      <c r="A53" s="436" t="s">
        <v>197</v>
      </c>
      <c r="B53" s="430" t="s">
        <v>625</v>
      </c>
      <c r="C53" s="478">
        <v>60</v>
      </c>
      <c r="D53" s="507">
        <v>57</v>
      </c>
      <c r="E53" s="506">
        <f>D53-C53</f>
        <v>-3</v>
      </c>
      <c r="F53" s="473">
        <f t="shared" si="12"/>
        <v>95</v>
      </c>
      <c r="G53" s="446" t="s">
        <v>750</v>
      </c>
      <c r="H53" s="573"/>
      <c r="I53" s="575"/>
    </row>
    <row r="54" spans="1:9" s="475" customFormat="1" ht="21" customHeight="1">
      <c r="A54" s="436" t="s">
        <v>198</v>
      </c>
      <c r="B54" s="430" t="s">
        <v>619</v>
      </c>
      <c r="C54" s="478">
        <v>46</v>
      </c>
      <c r="D54" s="507">
        <v>46</v>
      </c>
      <c r="E54" s="506">
        <f t="shared" ref="E54:E57" si="13">D54-C54</f>
        <v>0</v>
      </c>
      <c r="F54" s="473">
        <f t="shared" si="12"/>
        <v>100</v>
      </c>
      <c r="G54" s="446" t="s">
        <v>750</v>
      </c>
      <c r="H54" s="573"/>
      <c r="I54" s="575"/>
    </row>
    <row r="55" spans="1:9" s="475" customFormat="1" ht="108.6" customHeight="1">
      <c r="A55" s="436" t="s">
        <v>199</v>
      </c>
      <c r="B55" s="430" t="s">
        <v>644</v>
      </c>
      <c r="C55" s="511">
        <v>6924</v>
      </c>
      <c r="D55" s="511">
        <f>3799+1000</f>
        <v>4799</v>
      </c>
      <c r="E55" s="506">
        <f t="shared" si="13"/>
        <v>-2125</v>
      </c>
      <c r="F55" s="473">
        <f t="shared" si="12"/>
        <v>69.309647602541872</v>
      </c>
      <c r="G55" s="449" t="s">
        <v>823</v>
      </c>
      <c r="H55" s="573"/>
      <c r="I55" s="575" t="s">
        <v>653</v>
      </c>
    </row>
    <row r="56" spans="1:9" s="475" customFormat="1" ht="22.95" customHeight="1">
      <c r="A56" s="436" t="s">
        <v>246</v>
      </c>
      <c r="B56" s="430" t="s">
        <v>626</v>
      </c>
      <c r="C56" s="511">
        <f>1*599</f>
        <v>599</v>
      </c>
      <c r="D56" s="507">
        <v>599</v>
      </c>
      <c r="E56" s="506">
        <f t="shared" si="13"/>
        <v>0</v>
      </c>
      <c r="F56" s="473">
        <f t="shared" si="12"/>
        <v>100</v>
      </c>
      <c r="G56" s="446" t="s">
        <v>750</v>
      </c>
      <c r="H56" s="573"/>
      <c r="I56" s="575"/>
    </row>
    <row r="57" spans="1:9" s="475" customFormat="1" ht="25.2" customHeight="1">
      <c r="A57" s="436" t="s">
        <v>247</v>
      </c>
      <c r="B57" s="430" t="s">
        <v>609</v>
      </c>
      <c r="C57" s="511">
        <f>2*221.5</f>
        <v>443</v>
      </c>
      <c r="D57" s="507">
        <v>440</v>
      </c>
      <c r="E57" s="506">
        <f t="shared" si="13"/>
        <v>-3</v>
      </c>
      <c r="F57" s="473">
        <f t="shared" si="12"/>
        <v>99.322799097065456</v>
      </c>
      <c r="G57" s="446" t="s">
        <v>750</v>
      </c>
      <c r="H57" s="573"/>
      <c r="I57" s="575"/>
    </row>
    <row r="58" spans="1:9" s="475" customFormat="1" ht="21.6" customHeight="1">
      <c r="A58" s="436" t="s">
        <v>248</v>
      </c>
      <c r="B58" s="430" t="s">
        <v>620</v>
      </c>
      <c r="C58" s="511">
        <f>1*51.1</f>
        <v>51.1</v>
      </c>
      <c r="D58" s="507">
        <v>51</v>
      </c>
      <c r="E58" s="506">
        <f>D58-C58</f>
        <v>-0.10000000000000142</v>
      </c>
      <c r="F58" s="473">
        <f t="shared" si="12"/>
        <v>99.80430528375733</v>
      </c>
      <c r="G58" s="446" t="s">
        <v>750</v>
      </c>
      <c r="H58" s="573"/>
      <c r="I58" s="575"/>
    </row>
    <row r="59" spans="1:9" s="475" customFormat="1" ht="15.6" customHeight="1">
      <c r="A59" s="436" t="s">
        <v>770</v>
      </c>
      <c r="B59" s="431" t="s">
        <v>795</v>
      </c>
      <c r="C59" s="506" t="s">
        <v>560</v>
      </c>
      <c r="D59" s="506"/>
      <c r="E59" s="506">
        <f>D59</f>
        <v>0</v>
      </c>
      <c r="F59" s="473"/>
      <c r="G59" s="446" t="s">
        <v>798</v>
      </c>
      <c r="H59" s="573"/>
      <c r="I59" s="507"/>
    </row>
    <row r="60" spans="1:9" s="475" customFormat="1" ht="14.4" customHeight="1">
      <c r="A60" s="436" t="s">
        <v>771</v>
      </c>
      <c r="B60" s="431" t="s">
        <v>794</v>
      </c>
      <c r="C60" s="506" t="s">
        <v>560</v>
      </c>
      <c r="D60" s="506"/>
      <c r="E60" s="506">
        <f t="shared" ref="E60:E62" si="14">D60</f>
        <v>0</v>
      </c>
      <c r="F60" s="473"/>
      <c r="G60" s="446" t="s">
        <v>798</v>
      </c>
      <c r="H60" s="573"/>
      <c r="I60" s="507"/>
    </row>
    <row r="61" spans="1:9" s="475" customFormat="1" ht="15.6" customHeight="1">
      <c r="A61" s="436" t="s">
        <v>772</v>
      </c>
      <c r="B61" s="431" t="s">
        <v>796</v>
      </c>
      <c r="C61" s="506" t="s">
        <v>560</v>
      </c>
      <c r="D61" s="506"/>
      <c r="E61" s="506">
        <f t="shared" si="14"/>
        <v>0</v>
      </c>
      <c r="F61" s="473"/>
      <c r="G61" s="446" t="s">
        <v>798</v>
      </c>
      <c r="H61" s="573"/>
      <c r="I61" s="507"/>
    </row>
    <row r="62" spans="1:9" s="475" customFormat="1" ht="15.6" customHeight="1">
      <c r="A62" s="436" t="s">
        <v>773</v>
      </c>
      <c r="B62" s="431" t="s">
        <v>797</v>
      </c>
      <c r="C62" s="506" t="s">
        <v>560</v>
      </c>
      <c r="D62" s="506"/>
      <c r="E62" s="506">
        <f t="shared" si="14"/>
        <v>0</v>
      </c>
      <c r="F62" s="473"/>
      <c r="G62" s="446" t="s">
        <v>798</v>
      </c>
      <c r="H62" s="574"/>
      <c r="I62" s="507"/>
    </row>
    <row r="63" spans="1:9" s="463" customFormat="1" ht="19.2" customHeight="1">
      <c r="A63" s="436" t="s">
        <v>650</v>
      </c>
      <c r="B63" s="479" t="s">
        <v>251</v>
      </c>
      <c r="C63" s="444">
        <f>SUM(C64:C66)</f>
        <v>170412</v>
      </c>
      <c r="D63" s="444">
        <f>SUM(D64:D69)</f>
        <v>165353.09500000003</v>
      </c>
      <c r="E63" s="444">
        <f>D63-C63</f>
        <v>-5058.9049999999697</v>
      </c>
      <c r="F63" s="470">
        <f t="shared" si="12"/>
        <v>97.031368096143481</v>
      </c>
      <c r="G63" s="450"/>
      <c r="H63" s="506"/>
      <c r="I63" s="461"/>
    </row>
    <row r="64" spans="1:9" s="463" customFormat="1" ht="34.950000000000003" customHeight="1">
      <c r="A64" s="436" t="s">
        <v>11</v>
      </c>
      <c r="B64" s="431" t="s">
        <v>621</v>
      </c>
      <c r="C64" s="506">
        <v>313</v>
      </c>
      <c r="D64" s="507"/>
      <c r="E64" s="506">
        <f>D64-C64</f>
        <v>-313</v>
      </c>
      <c r="F64" s="473">
        <f t="shared" si="12"/>
        <v>0</v>
      </c>
      <c r="G64" s="446" t="s">
        <v>788</v>
      </c>
      <c r="H64" s="572" t="s">
        <v>632</v>
      </c>
      <c r="I64" s="507" t="s">
        <v>653</v>
      </c>
    </row>
    <row r="65" spans="1:9" s="463" customFormat="1" ht="39" customHeight="1">
      <c r="A65" s="436" t="s">
        <v>12</v>
      </c>
      <c r="B65" s="431" t="s">
        <v>622</v>
      </c>
      <c r="C65" s="506">
        <v>685</v>
      </c>
      <c r="D65" s="506">
        <v>0</v>
      </c>
      <c r="E65" s="506">
        <f t="shared" ref="E65:E66" si="15">D65-C65</f>
        <v>-685</v>
      </c>
      <c r="F65" s="506">
        <v>0</v>
      </c>
      <c r="G65" s="431" t="s">
        <v>824</v>
      </c>
      <c r="H65" s="574"/>
      <c r="I65" s="510"/>
    </row>
    <row r="66" spans="1:9" s="463" customFormat="1" ht="59.4" customHeight="1">
      <c r="A66" s="481" t="s">
        <v>27</v>
      </c>
      <c r="B66" s="482" t="s">
        <v>623</v>
      </c>
      <c r="C66" s="508">
        <v>169414</v>
      </c>
      <c r="D66" s="519">
        <f>133490.2+2678.6+2678.5+2678.5+2678.5+5357.1+5357.1+3415.095+2678.6+4017.9</f>
        <v>165030.09500000003</v>
      </c>
      <c r="E66" s="506">
        <f t="shared" si="15"/>
        <v>-4383.9049999999697</v>
      </c>
      <c r="F66" s="483">
        <f t="shared" si="12"/>
        <v>97.412312441710853</v>
      </c>
      <c r="G66" s="449" t="s">
        <v>681</v>
      </c>
      <c r="H66" s="508" t="s">
        <v>656</v>
      </c>
      <c r="I66" s="510" t="s">
        <v>653</v>
      </c>
    </row>
    <row r="67" spans="1:9" s="463" customFormat="1" ht="16.95" customHeight="1">
      <c r="A67" s="481" t="s">
        <v>28</v>
      </c>
      <c r="B67" s="431" t="s">
        <v>765</v>
      </c>
      <c r="C67" s="506" t="s">
        <v>560</v>
      </c>
      <c r="D67" s="507">
        <f>2*23</f>
        <v>46</v>
      </c>
      <c r="E67" s="506">
        <v>46</v>
      </c>
      <c r="F67" s="506">
        <v>100</v>
      </c>
      <c r="G67" s="446" t="s">
        <v>750</v>
      </c>
      <c r="H67" s="506" t="s">
        <v>632</v>
      </c>
      <c r="I67" s="510"/>
    </row>
    <row r="68" spans="1:9" s="463" customFormat="1" ht="49.8" customHeight="1">
      <c r="A68" s="481" t="s">
        <v>29</v>
      </c>
      <c r="B68" s="431" t="s">
        <v>757</v>
      </c>
      <c r="C68" s="506" t="s">
        <v>560</v>
      </c>
      <c r="D68" s="517"/>
      <c r="E68" s="506">
        <f>D68</f>
        <v>0</v>
      </c>
      <c r="F68" s="506">
        <v>0</v>
      </c>
      <c r="G68" s="431" t="s">
        <v>896</v>
      </c>
      <c r="H68" s="506" t="s">
        <v>632</v>
      </c>
      <c r="I68" s="510"/>
    </row>
    <row r="69" spans="1:9" s="463" customFormat="1" ht="24.6" customHeight="1">
      <c r="A69" s="481" t="s">
        <v>776</v>
      </c>
      <c r="B69" s="431" t="s">
        <v>777</v>
      </c>
      <c r="C69" s="506" t="s">
        <v>560</v>
      </c>
      <c r="D69" s="508">
        <v>277</v>
      </c>
      <c r="E69" s="506">
        <f>D69</f>
        <v>277</v>
      </c>
      <c r="F69" s="506">
        <v>0</v>
      </c>
      <c r="G69" s="446" t="s">
        <v>784</v>
      </c>
      <c r="H69" s="506" t="s">
        <v>778</v>
      </c>
      <c r="I69" s="510"/>
    </row>
    <row r="70" spans="1:9" s="463" customFormat="1" ht="19.95" customHeight="1">
      <c r="A70" s="485" t="s">
        <v>651</v>
      </c>
      <c r="B70" s="469" t="s">
        <v>128</v>
      </c>
      <c r="C70" s="444">
        <f>C71+C72+C73+C74+C75+C76</f>
        <v>46159.82142857142</v>
      </c>
      <c r="D70" s="444">
        <f>SUM(D71:D78)</f>
        <v>46066.392999999996</v>
      </c>
      <c r="E70" s="444">
        <f t="shared" ref="E70:E76" si="16">D70-C70</f>
        <v>-93.428428571423865</v>
      </c>
      <c r="F70" s="470">
        <f t="shared" si="12"/>
        <v>99.79759794193312</v>
      </c>
      <c r="G70" s="450"/>
      <c r="H70" s="506"/>
      <c r="I70" s="461"/>
    </row>
    <row r="71" spans="1:9" s="463" customFormat="1" ht="16.95" customHeight="1">
      <c r="A71" s="485" t="s">
        <v>201</v>
      </c>
      <c r="B71" s="430" t="s">
        <v>611</v>
      </c>
      <c r="C71" s="511">
        <f>(12000000/1.12/1000)</f>
        <v>10714.285714285712</v>
      </c>
      <c r="D71" s="506">
        <v>10660.4</v>
      </c>
      <c r="E71" s="506">
        <f t="shared" si="16"/>
        <v>-53.885714285712311</v>
      </c>
      <c r="F71" s="473">
        <f t="shared" si="12"/>
        <v>99.497066666666683</v>
      </c>
      <c r="G71" s="446" t="s">
        <v>750</v>
      </c>
      <c r="H71" s="578" t="s">
        <v>634</v>
      </c>
      <c r="I71" s="575" t="s">
        <v>657</v>
      </c>
    </row>
    <row r="72" spans="1:9" s="463" customFormat="1" ht="16.95" customHeight="1">
      <c r="A72" s="485" t="s">
        <v>202</v>
      </c>
      <c r="B72" s="430" t="s">
        <v>668</v>
      </c>
      <c r="C72" s="511">
        <f>(8251000/1.12/1000)*1</f>
        <v>7366.9642857142853</v>
      </c>
      <c r="D72" s="511">
        <v>6574.1</v>
      </c>
      <c r="E72" s="506">
        <f t="shared" si="16"/>
        <v>-792.86428571428496</v>
      </c>
      <c r="F72" s="473">
        <f t="shared" si="12"/>
        <v>89.237571203490489</v>
      </c>
      <c r="G72" s="446" t="s">
        <v>750</v>
      </c>
      <c r="H72" s="578"/>
      <c r="I72" s="575"/>
    </row>
    <row r="73" spans="1:9" s="463" customFormat="1" ht="27" customHeight="1">
      <c r="A73" s="485" t="s">
        <v>203</v>
      </c>
      <c r="B73" s="430" t="s">
        <v>612</v>
      </c>
      <c r="C73" s="511">
        <f>(6286000/1.12/1000)*2</f>
        <v>11224.999999999998</v>
      </c>
      <c r="D73" s="511">
        <f>6800+3950.893</f>
        <v>10750.893</v>
      </c>
      <c r="E73" s="506">
        <f t="shared" si="16"/>
        <v>-474.10699999999815</v>
      </c>
      <c r="F73" s="473">
        <f t="shared" si="12"/>
        <v>95.776329621380867</v>
      </c>
      <c r="G73" s="446" t="s">
        <v>750</v>
      </c>
      <c r="H73" s="578" t="s">
        <v>634</v>
      </c>
      <c r="I73" s="575"/>
    </row>
    <row r="74" spans="1:9" s="463" customFormat="1" ht="17.399999999999999" customHeight="1">
      <c r="A74" s="485" t="s">
        <v>204</v>
      </c>
      <c r="B74" s="430" t="s">
        <v>613</v>
      </c>
      <c r="C74" s="511">
        <f>(16200000/1.12/1000)*1</f>
        <v>14464.285714285712</v>
      </c>
      <c r="D74" s="390">
        <v>15692</v>
      </c>
      <c r="E74" s="506">
        <f t="shared" si="16"/>
        <v>1227.7142857142881</v>
      </c>
      <c r="F74" s="473">
        <f t="shared" si="12"/>
        <v>108.48790123456793</v>
      </c>
      <c r="G74" s="446" t="s">
        <v>750</v>
      </c>
      <c r="H74" s="578"/>
      <c r="I74" s="575"/>
    </row>
    <row r="75" spans="1:9" s="486" customFormat="1" ht="17.399999999999999" customHeight="1">
      <c r="A75" s="485" t="s">
        <v>205</v>
      </c>
      <c r="B75" s="430" t="s">
        <v>614</v>
      </c>
      <c r="C75" s="511">
        <f>(950000/1.12/1000)*2</f>
        <v>1696.4285714285713</v>
      </c>
      <c r="D75" s="511">
        <v>1696</v>
      </c>
      <c r="E75" s="506">
        <f t="shared" si="16"/>
        <v>-0.42857142857133113</v>
      </c>
      <c r="F75" s="473">
        <f t="shared" si="12"/>
        <v>99.974736842105273</v>
      </c>
      <c r="G75" s="446" t="s">
        <v>750</v>
      </c>
      <c r="H75" s="578"/>
      <c r="I75" s="575" t="s">
        <v>657</v>
      </c>
    </row>
    <row r="76" spans="1:9" s="486" customFormat="1" ht="17.399999999999999" customHeight="1">
      <c r="A76" s="485" t="s">
        <v>206</v>
      </c>
      <c r="B76" s="430" t="s">
        <v>615</v>
      </c>
      <c r="C76" s="511">
        <f>(776000/1.12/1000)*1</f>
        <v>692.85714285714289</v>
      </c>
      <c r="D76" s="507">
        <v>693</v>
      </c>
      <c r="E76" s="506">
        <f t="shared" si="16"/>
        <v>0.14285714285711038</v>
      </c>
      <c r="F76" s="473">
        <f t="shared" si="12"/>
        <v>100.02061855670104</v>
      </c>
      <c r="G76" s="446" t="s">
        <v>750</v>
      </c>
      <c r="H76" s="578"/>
      <c r="I76" s="575"/>
    </row>
    <row r="77" spans="1:9" s="486" customFormat="1" ht="27" customHeight="1">
      <c r="A77" s="485" t="s">
        <v>207</v>
      </c>
      <c r="B77" s="430" t="s">
        <v>763</v>
      </c>
      <c r="C77" s="511" t="s">
        <v>560</v>
      </c>
      <c r="D77" s="507"/>
      <c r="E77" s="506">
        <f>D77</f>
        <v>0</v>
      </c>
      <c r="F77" s="473">
        <v>0</v>
      </c>
      <c r="G77" s="446" t="s">
        <v>877</v>
      </c>
      <c r="H77" s="578"/>
      <c r="I77" s="507"/>
    </row>
    <row r="78" spans="1:9" s="463" customFormat="1" ht="34.950000000000003" customHeight="1">
      <c r="A78" s="481" t="s">
        <v>774</v>
      </c>
      <c r="B78" s="430" t="s">
        <v>782</v>
      </c>
      <c r="C78" s="511" t="s">
        <v>560</v>
      </c>
      <c r="D78" s="507"/>
      <c r="E78" s="506"/>
      <c r="F78" s="473"/>
      <c r="G78" s="451" t="s">
        <v>869</v>
      </c>
      <c r="H78" s="578"/>
      <c r="I78" s="510"/>
    </row>
    <row r="79" spans="1:9" s="463" customFormat="1" ht="16.95" customHeight="1">
      <c r="A79" s="485"/>
      <c r="B79" s="469" t="s">
        <v>134</v>
      </c>
      <c r="C79" s="444">
        <f>SUM(C81:C89)</f>
        <v>887</v>
      </c>
      <c r="D79" s="444">
        <f>SUM(D81:D93)</f>
        <v>924</v>
      </c>
      <c r="E79" s="444">
        <f>D79-C79</f>
        <v>37</v>
      </c>
      <c r="F79" s="470">
        <f t="shared" si="12"/>
        <v>104.17136414881622</v>
      </c>
      <c r="G79" s="446"/>
      <c r="H79" s="506"/>
      <c r="I79" s="507" t="s">
        <v>658</v>
      </c>
    </row>
    <row r="80" spans="1:9" s="486" customFormat="1" ht="17.399999999999999" hidden="1" customHeight="1">
      <c r="A80" s="485" t="s">
        <v>647</v>
      </c>
      <c r="B80" s="431" t="s">
        <v>635</v>
      </c>
      <c r="C80" s="506">
        <v>483</v>
      </c>
      <c r="D80" s="478"/>
      <c r="E80" s="478"/>
      <c r="F80" s="478"/>
      <c r="G80" s="446" t="s">
        <v>750</v>
      </c>
      <c r="H80" s="506" t="s">
        <v>634</v>
      </c>
      <c r="I80" s="487"/>
    </row>
    <row r="81" spans="1:9" s="486" customFormat="1" ht="18" customHeight="1">
      <c r="A81" s="485" t="s">
        <v>647</v>
      </c>
      <c r="B81" s="431" t="s">
        <v>688</v>
      </c>
      <c r="C81" s="478">
        <v>133</v>
      </c>
      <c r="D81" s="478">
        <v>121</v>
      </c>
      <c r="E81" s="506">
        <f t="shared" ref="E81:E89" si="17">D81-C81</f>
        <v>-12</v>
      </c>
      <c r="F81" s="473">
        <f t="shared" ref="F81:F89" si="18">D81/C81*100</f>
        <v>90.977443609022558</v>
      </c>
      <c r="G81" s="446" t="s">
        <v>750</v>
      </c>
      <c r="H81" s="572" t="s">
        <v>669</v>
      </c>
      <c r="I81" s="586"/>
    </row>
    <row r="82" spans="1:9" s="486" customFormat="1" ht="18" customHeight="1">
      <c r="A82" s="485" t="s">
        <v>690</v>
      </c>
      <c r="B82" s="488" t="s">
        <v>700</v>
      </c>
      <c r="C82" s="478">
        <v>172</v>
      </c>
      <c r="D82" s="478">
        <v>162</v>
      </c>
      <c r="E82" s="506">
        <f t="shared" si="17"/>
        <v>-10</v>
      </c>
      <c r="F82" s="473">
        <f t="shared" si="18"/>
        <v>94.186046511627907</v>
      </c>
      <c r="G82" s="446" t="s">
        <v>750</v>
      </c>
      <c r="H82" s="573"/>
      <c r="I82" s="586"/>
    </row>
    <row r="83" spans="1:9" s="486" customFormat="1" ht="18" customHeight="1">
      <c r="A83" s="485" t="s">
        <v>691</v>
      </c>
      <c r="B83" s="488" t="s">
        <v>670</v>
      </c>
      <c r="C83" s="478">
        <v>78</v>
      </c>
      <c r="D83" s="489">
        <v>35</v>
      </c>
      <c r="E83" s="506">
        <f t="shared" si="17"/>
        <v>-43</v>
      </c>
      <c r="F83" s="473">
        <f t="shared" si="18"/>
        <v>44.871794871794876</v>
      </c>
      <c r="G83" s="446" t="s">
        <v>750</v>
      </c>
      <c r="H83" s="573"/>
      <c r="I83" s="586"/>
    </row>
    <row r="84" spans="1:9" s="486" customFormat="1" ht="18" customHeight="1">
      <c r="A84" s="485" t="s">
        <v>692</v>
      </c>
      <c r="B84" s="488" t="s">
        <v>671</v>
      </c>
      <c r="C84" s="478">
        <v>37</v>
      </c>
      <c r="D84" s="478">
        <v>29</v>
      </c>
      <c r="E84" s="506">
        <f t="shared" si="17"/>
        <v>-8</v>
      </c>
      <c r="F84" s="473">
        <f t="shared" si="18"/>
        <v>78.378378378378372</v>
      </c>
      <c r="G84" s="446" t="s">
        <v>750</v>
      </c>
      <c r="H84" s="573"/>
      <c r="I84" s="586"/>
    </row>
    <row r="85" spans="1:9" s="486" customFormat="1" ht="18" customHeight="1">
      <c r="A85" s="485" t="s">
        <v>693</v>
      </c>
      <c r="B85" s="488" t="s">
        <v>672</v>
      </c>
      <c r="C85" s="478">
        <v>113</v>
      </c>
      <c r="D85" s="478">
        <v>64</v>
      </c>
      <c r="E85" s="506">
        <f t="shared" si="17"/>
        <v>-49</v>
      </c>
      <c r="F85" s="473">
        <f t="shared" si="18"/>
        <v>56.637168141592923</v>
      </c>
      <c r="G85" s="446" t="s">
        <v>750</v>
      </c>
      <c r="H85" s="573"/>
      <c r="I85" s="586"/>
    </row>
    <row r="86" spans="1:9" s="486" customFormat="1" ht="18" customHeight="1">
      <c r="A86" s="485" t="s">
        <v>694</v>
      </c>
      <c r="B86" s="488" t="s">
        <v>673</v>
      </c>
      <c r="C86" s="489">
        <v>58</v>
      </c>
      <c r="D86" s="489">
        <v>39</v>
      </c>
      <c r="E86" s="506">
        <f t="shared" si="17"/>
        <v>-19</v>
      </c>
      <c r="F86" s="473">
        <f t="shared" si="18"/>
        <v>67.241379310344826</v>
      </c>
      <c r="G86" s="446" t="s">
        <v>750</v>
      </c>
      <c r="H86" s="573"/>
      <c r="I86" s="587"/>
    </row>
    <row r="87" spans="1:9" s="486" customFormat="1" ht="19.2" customHeight="1">
      <c r="A87" s="485" t="s">
        <v>695</v>
      </c>
      <c r="B87" s="488" t="s">
        <v>674</v>
      </c>
      <c r="C87" s="478">
        <v>104</v>
      </c>
      <c r="D87" s="478">
        <v>100</v>
      </c>
      <c r="E87" s="506">
        <f t="shared" si="17"/>
        <v>-4</v>
      </c>
      <c r="F87" s="473">
        <f t="shared" si="18"/>
        <v>96.15384615384616</v>
      </c>
      <c r="G87" s="446" t="s">
        <v>750</v>
      </c>
      <c r="H87" s="573"/>
      <c r="I87" s="509"/>
    </row>
    <row r="88" spans="1:9" s="486" customFormat="1" ht="19.2" customHeight="1">
      <c r="A88" s="485" t="s">
        <v>696</v>
      </c>
      <c r="B88" s="488" t="s">
        <v>675</v>
      </c>
      <c r="C88" s="478">
        <v>110</v>
      </c>
      <c r="D88" s="489">
        <v>76</v>
      </c>
      <c r="E88" s="506">
        <f t="shared" si="17"/>
        <v>-34</v>
      </c>
      <c r="F88" s="473">
        <f t="shared" si="18"/>
        <v>69.090909090909093</v>
      </c>
      <c r="G88" s="446" t="s">
        <v>750</v>
      </c>
      <c r="H88" s="573"/>
      <c r="I88" s="509"/>
    </row>
    <row r="89" spans="1:9" s="486" customFormat="1" ht="18" customHeight="1">
      <c r="A89" s="485" t="s">
        <v>697</v>
      </c>
      <c r="B89" s="488" t="s">
        <v>682</v>
      </c>
      <c r="C89" s="489">
        <v>82</v>
      </c>
      <c r="D89" s="489">
        <v>77</v>
      </c>
      <c r="E89" s="506">
        <f t="shared" si="17"/>
        <v>-5</v>
      </c>
      <c r="F89" s="473">
        <f t="shared" si="18"/>
        <v>93.902439024390233</v>
      </c>
      <c r="G89" s="446" t="s">
        <v>750</v>
      </c>
      <c r="H89" s="573"/>
      <c r="I89" s="509"/>
    </row>
    <row r="90" spans="1:9" s="486" customFormat="1" ht="22.8" customHeight="1">
      <c r="A90" s="485" t="s">
        <v>722</v>
      </c>
      <c r="B90" s="488" t="s">
        <v>760</v>
      </c>
      <c r="C90" s="443" t="s">
        <v>560</v>
      </c>
      <c r="D90" s="489"/>
      <c r="E90" s="506"/>
      <c r="F90" s="473"/>
      <c r="G90" s="430" t="s">
        <v>879</v>
      </c>
      <c r="H90" s="573"/>
      <c r="I90" s="509"/>
    </row>
    <row r="91" spans="1:9" s="486" customFormat="1" ht="34.799999999999997" customHeight="1">
      <c r="A91" s="485" t="s">
        <v>723</v>
      </c>
      <c r="B91" s="488" t="s">
        <v>761</v>
      </c>
      <c r="C91" s="443" t="s">
        <v>560</v>
      </c>
      <c r="D91" s="489"/>
      <c r="E91" s="506"/>
      <c r="F91" s="473"/>
      <c r="G91" s="430" t="s">
        <v>871</v>
      </c>
      <c r="H91" s="573"/>
      <c r="I91" s="509"/>
    </row>
    <row r="92" spans="1:9" s="486" customFormat="1" ht="23.4" customHeight="1">
      <c r="A92" s="485" t="s">
        <v>724</v>
      </c>
      <c r="B92" s="451" t="s">
        <v>758</v>
      </c>
      <c r="C92" s="443" t="s">
        <v>560</v>
      </c>
      <c r="D92" s="489">
        <v>171</v>
      </c>
      <c r="E92" s="506">
        <f>D92</f>
        <v>171</v>
      </c>
      <c r="F92" s="473">
        <v>0</v>
      </c>
      <c r="G92" s="446" t="s">
        <v>750</v>
      </c>
      <c r="H92" s="573"/>
      <c r="I92" s="509"/>
    </row>
    <row r="93" spans="1:9" s="486" customFormat="1" ht="19.2" customHeight="1">
      <c r="A93" s="485" t="s">
        <v>759</v>
      </c>
      <c r="B93" s="488" t="s">
        <v>716</v>
      </c>
      <c r="C93" s="443" t="s">
        <v>560</v>
      </c>
      <c r="D93" s="489">
        <v>50</v>
      </c>
      <c r="E93" s="506">
        <f>D93</f>
        <v>50</v>
      </c>
      <c r="F93" s="473">
        <v>0</v>
      </c>
      <c r="G93" s="446" t="s">
        <v>750</v>
      </c>
      <c r="H93" s="574"/>
      <c r="I93" s="509"/>
    </row>
    <row r="94" spans="1:9" ht="18" customHeight="1">
      <c r="A94" s="492"/>
      <c r="B94" s="458" t="s">
        <v>95</v>
      </c>
      <c r="C94" s="448">
        <f>440139+448528+C37+C50+C63+C70+C79</f>
        <v>1138328.9214285715</v>
      </c>
      <c r="D94" s="493">
        <f>D7+D17+D37+D50+D63+D70+D79</f>
        <v>378077.48599999998</v>
      </c>
      <c r="E94" s="494">
        <f>D94-C94</f>
        <v>-760251.43542857142</v>
      </c>
      <c r="F94" s="494">
        <f>D94/C94*100</f>
        <v>33.213377863185897</v>
      </c>
      <c r="G94" s="452"/>
      <c r="H94" s="448"/>
      <c r="I94" s="495"/>
    </row>
    <row r="95" spans="1:9" ht="18" customHeight="1">
      <c r="A95" s="496"/>
      <c r="B95" s="497"/>
      <c r="C95" s="498"/>
      <c r="D95" s="499"/>
      <c r="E95" s="500"/>
      <c r="F95" s="500"/>
      <c r="G95" s="453"/>
      <c r="H95" s="498"/>
      <c r="I95" s="501"/>
    </row>
    <row r="96" spans="1:9" ht="15.75" customHeight="1">
      <c r="A96" s="496"/>
      <c r="B96" s="497"/>
      <c r="C96" s="498"/>
      <c r="D96" s="502"/>
      <c r="E96" s="503"/>
      <c r="F96" s="503"/>
      <c r="G96" s="453"/>
      <c r="H96" s="498"/>
    </row>
    <row r="97" spans="2:8" hidden="1">
      <c r="B97" s="584" t="s">
        <v>753</v>
      </c>
      <c r="C97" s="584"/>
      <c r="D97" s="584"/>
      <c r="E97" s="584"/>
      <c r="F97" s="584"/>
      <c r="G97" s="584"/>
      <c r="H97" s="584"/>
    </row>
    <row r="100" spans="2:8" hidden="1"/>
    <row r="101" spans="2:8" ht="12.6" customHeight="1">
      <c r="B101" s="585" t="s">
        <v>637</v>
      </c>
      <c r="C101" s="585"/>
      <c r="D101" s="585"/>
      <c r="E101" s="585"/>
      <c r="F101" s="585"/>
      <c r="G101" s="585"/>
      <c r="H101" s="585"/>
    </row>
  </sheetData>
  <mergeCells count="23">
    <mergeCell ref="H51:H62"/>
    <mergeCell ref="I51:I54"/>
    <mergeCell ref="I55:I58"/>
    <mergeCell ref="B1:I1"/>
    <mergeCell ref="A2:I2"/>
    <mergeCell ref="E4:H4"/>
    <mergeCell ref="H8:H14"/>
    <mergeCell ref="H17:H18"/>
    <mergeCell ref="H19:H31"/>
    <mergeCell ref="H32:H36"/>
    <mergeCell ref="H38:H39"/>
    <mergeCell ref="I38:I40"/>
    <mergeCell ref="I41:I47"/>
    <mergeCell ref="H42:H47"/>
    <mergeCell ref="B97:H97"/>
    <mergeCell ref="B101:H101"/>
    <mergeCell ref="H64:H65"/>
    <mergeCell ref="H71:H72"/>
    <mergeCell ref="I71:I74"/>
    <mergeCell ref="H73:H78"/>
    <mergeCell ref="I75:I76"/>
    <mergeCell ref="H81:H93"/>
    <mergeCell ref="I81:I86"/>
  </mergeCells>
  <pageMargins left="0.70866141732283472" right="0" top="0.23622047244094491" bottom="0.31496062992125984" header="0.23622047244094491" footer="0.31496062992125984"/>
  <pageSetup paperSize="9" scale="75" orientation="portrait" horizontalDpi="180" verticalDpi="180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C00000"/>
  </sheetPr>
  <dimension ref="A1:I101"/>
  <sheetViews>
    <sheetView workbookViewId="0">
      <pane xSplit="2" ySplit="5" topLeftCell="E14" activePane="bottomRight" state="frozen"/>
      <selection pane="topRight" activeCell="C1" sqref="C1"/>
      <selection pane="bottomLeft" activeCell="A5" sqref="A5"/>
      <selection pane="bottomRight" activeCell="A15" sqref="A15:B16"/>
    </sheetView>
  </sheetViews>
  <sheetFormatPr defaultColWidth="9.109375" defaultRowHeight="12"/>
  <cols>
    <col min="1" max="1" width="5" style="408" customWidth="1"/>
    <col min="2" max="2" width="44.33203125" style="408" customWidth="1"/>
    <col min="3" max="3" width="15.6640625" style="408" customWidth="1"/>
    <col min="4" max="4" width="13.33203125" style="504" customWidth="1"/>
    <col min="5" max="5" width="14.88671875" style="505" customWidth="1"/>
    <col min="6" max="6" width="10.88671875" style="505" customWidth="1"/>
    <col min="7" max="7" width="54.88671875" style="454" customWidth="1"/>
    <col min="8" max="8" width="14.33203125" style="408" customWidth="1"/>
    <col min="9" max="9" width="28.33203125" style="408" hidden="1" customWidth="1"/>
    <col min="10" max="16384" width="9.109375" style="408"/>
  </cols>
  <sheetData>
    <row r="1" spans="1:9" ht="15.75" customHeight="1">
      <c r="A1" s="455"/>
      <c r="B1" s="576" t="s">
        <v>638</v>
      </c>
      <c r="C1" s="576"/>
      <c r="D1" s="576"/>
      <c r="E1" s="576"/>
      <c r="F1" s="576"/>
      <c r="G1" s="576"/>
      <c r="H1" s="576"/>
      <c r="I1" s="576"/>
    </row>
    <row r="2" spans="1:9" ht="15.75" customHeight="1">
      <c r="A2" s="576" t="s">
        <v>754</v>
      </c>
      <c r="B2" s="576"/>
      <c r="C2" s="576"/>
      <c r="D2" s="576"/>
      <c r="E2" s="576"/>
      <c r="F2" s="576"/>
      <c r="G2" s="576"/>
      <c r="H2" s="576"/>
      <c r="I2" s="576"/>
    </row>
    <row r="3" spans="1:9" ht="15.75" customHeight="1">
      <c r="A3" s="456"/>
      <c r="B3" s="456"/>
      <c r="C3" s="456"/>
      <c r="D3" s="456"/>
      <c r="E3" s="456"/>
      <c r="F3" s="456"/>
      <c r="G3" s="456"/>
      <c r="H3" s="456"/>
      <c r="I3" s="456"/>
    </row>
    <row r="4" spans="1:9" ht="15.75" customHeight="1">
      <c r="A4" s="456"/>
      <c r="B4" s="456" t="s">
        <v>800</v>
      </c>
      <c r="C4" s="456"/>
      <c r="D4" s="456"/>
      <c r="E4" s="577" t="s">
        <v>898</v>
      </c>
      <c r="F4" s="577"/>
      <c r="G4" s="577"/>
      <c r="H4" s="577"/>
      <c r="I4" s="456"/>
    </row>
    <row r="5" spans="1:9" ht="30" customHeight="1">
      <c r="A5" s="457"/>
      <c r="B5" s="447" t="s">
        <v>84</v>
      </c>
      <c r="C5" s="447" t="s">
        <v>639</v>
      </c>
      <c r="D5" s="447" t="s">
        <v>640</v>
      </c>
      <c r="E5" s="447" t="s">
        <v>641</v>
      </c>
      <c r="F5" s="447" t="s">
        <v>828</v>
      </c>
      <c r="G5" s="447" t="s">
        <v>636</v>
      </c>
      <c r="H5" s="447" t="s">
        <v>643</v>
      </c>
      <c r="I5" s="447" t="s">
        <v>652</v>
      </c>
    </row>
    <row r="6" spans="1:9" ht="17.399999999999999" customHeight="1">
      <c r="A6" s="457"/>
      <c r="B6" s="458" t="s">
        <v>821</v>
      </c>
      <c r="C6" s="448">
        <f>C94</f>
        <v>1138328.9214285715</v>
      </c>
      <c r="D6" s="528">
        <f>D94</f>
        <v>538710.58600000001</v>
      </c>
      <c r="E6" s="444">
        <f t="shared" ref="E6:F6" si="0">E94</f>
        <v>-599618.33542857144</v>
      </c>
      <c r="F6" s="444">
        <f t="shared" si="0"/>
        <v>47.324685849493576</v>
      </c>
      <c r="G6" s="448"/>
      <c r="H6" s="448"/>
      <c r="I6" s="447"/>
    </row>
    <row r="7" spans="1:9" s="463" customFormat="1" ht="50.4" customHeight="1">
      <c r="A7" s="436" t="s">
        <v>645</v>
      </c>
      <c r="B7" s="459" t="s">
        <v>220</v>
      </c>
      <c r="C7" s="444" t="s">
        <v>865</v>
      </c>
      <c r="D7" s="528" t="s">
        <v>838</v>
      </c>
      <c r="E7" s="460" t="s">
        <v>870</v>
      </c>
      <c r="F7" s="445">
        <v>55.8</v>
      </c>
      <c r="G7" s="430"/>
      <c r="H7" s="461"/>
      <c r="I7" s="462" t="s">
        <v>653</v>
      </c>
    </row>
    <row r="8" spans="1:9" s="463" customFormat="1" ht="34.950000000000003" customHeight="1">
      <c r="A8" s="436" t="s">
        <v>729</v>
      </c>
      <c r="B8" s="429" t="s">
        <v>819</v>
      </c>
      <c r="C8" s="441">
        <v>51064</v>
      </c>
      <c r="D8" s="442">
        <v>5002</v>
      </c>
      <c r="E8" s="441">
        <f>D8-C8</f>
        <v>-46062</v>
      </c>
      <c r="F8" s="443">
        <f t="shared" ref="F8:F12" si="1">D8/C8*100</f>
        <v>9.795550681497728</v>
      </c>
      <c r="G8" s="430" t="s">
        <v>829</v>
      </c>
      <c r="H8" s="578" t="s">
        <v>627</v>
      </c>
      <c r="I8" s="462"/>
    </row>
    <row r="9" spans="1:9" s="463" customFormat="1" ht="61.2" customHeight="1">
      <c r="A9" s="436" t="s">
        <v>730</v>
      </c>
      <c r="B9" s="429" t="s">
        <v>739</v>
      </c>
      <c r="C9" s="441">
        <v>35404</v>
      </c>
      <c r="D9" s="441"/>
      <c r="E9" s="441">
        <f t="shared" ref="E9:E12" si="2">D9-C9</f>
        <v>-35404</v>
      </c>
      <c r="F9" s="443">
        <f t="shared" si="1"/>
        <v>0</v>
      </c>
      <c r="G9" s="430" t="s">
        <v>749</v>
      </c>
      <c r="H9" s="578"/>
      <c r="I9" s="462"/>
    </row>
    <row r="10" spans="1:9" s="463" customFormat="1" ht="37.950000000000003" customHeight="1">
      <c r="A10" s="436" t="s">
        <v>731</v>
      </c>
      <c r="B10" s="429" t="s">
        <v>740</v>
      </c>
      <c r="C10" s="441">
        <v>31776</v>
      </c>
      <c r="D10" s="441">
        <v>2833</v>
      </c>
      <c r="E10" s="441">
        <f t="shared" si="2"/>
        <v>-28943</v>
      </c>
      <c r="F10" s="443">
        <f t="shared" si="1"/>
        <v>8.9155337361530709</v>
      </c>
      <c r="G10" s="430" t="s">
        <v>830</v>
      </c>
      <c r="H10" s="578"/>
      <c r="I10" s="462"/>
    </row>
    <row r="11" spans="1:9" s="463" customFormat="1" ht="62.4" customHeight="1">
      <c r="A11" s="436" t="s">
        <v>732</v>
      </c>
      <c r="B11" s="429" t="s">
        <v>741</v>
      </c>
      <c r="C11" s="441">
        <v>58441</v>
      </c>
      <c r="D11" s="441" t="s">
        <v>818</v>
      </c>
      <c r="E11" s="441">
        <f>36270-C11</f>
        <v>-22171</v>
      </c>
      <c r="F11" s="443">
        <f>36270/C11*100</f>
        <v>62.062593042555733</v>
      </c>
      <c r="G11" s="430" t="s">
        <v>861</v>
      </c>
      <c r="H11" s="578"/>
      <c r="I11" s="462"/>
    </row>
    <row r="12" spans="1:9" s="463" customFormat="1" ht="59.4" customHeight="1">
      <c r="A12" s="436" t="s">
        <v>733</v>
      </c>
      <c r="B12" s="429" t="s">
        <v>742</v>
      </c>
      <c r="C12" s="441">
        <v>60207</v>
      </c>
      <c r="D12" s="441">
        <f>77178+500</f>
        <v>77678</v>
      </c>
      <c r="E12" s="441">
        <f t="shared" si="2"/>
        <v>17471</v>
      </c>
      <c r="F12" s="443">
        <f t="shared" si="1"/>
        <v>129.0182204727025</v>
      </c>
      <c r="G12" s="430" t="s">
        <v>866</v>
      </c>
      <c r="H12" s="578"/>
      <c r="I12" s="462"/>
    </row>
    <row r="13" spans="1:9" s="463" customFormat="1" ht="61.2" customHeight="1">
      <c r="A13" s="436" t="s">
        <v>734</v>
      </c>
      <c r="B13" s="429" t="s">
        <v>743</v>
      </c>
      <c r="C13" s="441">
        <v>84280</v>
      </c>
      <c r="D13" s="441" t="s">
        <v>835</v>
      </c>
      <c r="E13" s="441">
        <f>70286-C13</f>
        <v>-13994</v>
      </c>
      <c r="F13" s="443">
        <f>70286/C13*100</f>
        <v>83.395823445657342</v>
      </c>
      <c r="G13" s="430" t="s">
        <v>862</v>
      </c>
      <c r="H13" s="578"/>
      <c r="I13" s="462"/>
    </row>
    <row r="14" spans="1:9" s="463" customFormat="1" ht="60.6" customHeight="1">
      <c r="A14" s="436" t="s">
        <v>735</v>
      </c>
      <c r="B14" s="429" t="s">
        <v>744</v>
      </c>
      <c r="C14" s="441">
        <v>118967</v>
      </c>
      <c r="D14" s="516" t="s">
        <v>882</v>
      </c>
      <c r="E14" s="441">
        <f>51143-C14</f>
        <v>-67824</v>
      </c>
      <c r="F14" s="443">
        <f>51143/C14*100</f>
        <v>42.989232308119057</v>
      </c>
      <c r="G14" s="430" t="s">
        <v>833</v>
      </c>
      <c r="H14" s="578"/>
      <c r="I14" s="462"/>
    </row>
    <row r="15" spans="1:9" s="463" customFormat="1" ht="47.4" customHeight="1">
      <c r="A15" s="436" t="s">
        <v>736</v>
      </c>
      <c r="B15" s="430" t="s">
        <v>745</v>
      </c>
      <c r="C15" s="441" t="s">
        <v>560</v>
      </c>
      <c r="D15" s="441">
        <v>688</v>
      </c>
      <c r="E15" s="444"/>
      <c r="F15" s="445"/>
      <c r="G15" s="430" t="s">
        <v>831</v>
      </c>
      <c r="H15" s="441" t="s">
        <v>629</v>
      </c>
      <c r="I15" s="462"/>
    </row>
    <row r="16" spans="1:9" s="463" customFormat="1" ht="49.2" customHeight="1">
      <c r="A16" s="436" t="s">
        <v>737</v>
      </c>
      <c r="B16" s="430" t="s">
        <v>834</v>
      </c>
      <c r="C16" s="441" t="s">
        <v>560</v>
      </c>
      <c r="D16" s="441">
        <v>1417</v>
      </c>
      <c r="E16" s="444"/>
      <c r="F16" s="445"/>
      <c r="G16" s="430" t="s">
        <v>832</v>
      </c>
      <c r="H16" s="441" t="s">
        <v>627</v>
      </c>
      <c r="I16" s="462"/>
    </row>
    <row r="17" spans="1:9" s="465" customFormat="1" ht="53.4" customHeight="1">
      <c r="A17" s="436" t="s">
        <v>646</v>
      </c>
      <c r="B17" s="459" t="s">
        <v>402</v>
      </c>
      <c r="C17" s="444" t="s">
        <v>864</v>
      </c>
      <c r="D17" s="444" t="s">
        <v>836</v>
      </c>
      <c r="E17" s="444">
        <f>49765-448528</f>
        <v>-398763</v>
      </c>
      <c r="F17" s="445">
        <v>11</v>
      </c>
      <c r="G17" s="464"/>
      <c r="H17" s="578" t="s">
        <v>627</v>
      </c>
      <c r="I17" s="462" t="s">
        <v>653</v>
      </c>
    </row>
    <row r="18" spans="1:9" s="465" customFormat="1" ht="47.4" customHeight="1">
      <c r="A18" s="432" t="s">
        <v>186</v>
      </c>
      <c r="B18" s="433" t="s">
        <v>857</v>
      </c>
      <c r="C18" s="271">
        <v>22956</v>
      </c>
      <c r="D18" s="466">
        <v>392</v>
      </c>
      <c r="E18" s="441">
        <f t="shared" ref="E18" si="3">D18-C18</f>
        <v>-22564</v>
      </c>
      <c r="F18" s="443">
        <f t="shared" ref="F18" si="4">D18/C18*100</f>
        <v>1.707614566997735</v>
      </c>
      <c r="G18" s="430" t="s">
        <v>847</v>
      </c>
      <c r="H18" s="578"/>
      <c r="I18" s="462"/>
    </row>
    <row r="19" spans="1:9" s="465" customFormat="1" ht="48.6" customHeight="1">
      <c r="A19" s="434" t="s">
        <v>187</v>
      </c>
      <c r="B19" s="435" t="s">
        <v>806</v>
      </c>
      <c r="C19" s="437">
        <v>7101</v>
      </c>
      <c r="D19" s="441" t="s">
        <v>827</v>
      </c>
      <c r="E19" s="441">
        <f>121-C19</f>
        <v>-6980</v>
      </c>
      <c r="F19" s="443">
        <f>121/C19*100</f>
        <v>1.7039853541754684</v>
      </c>
      <c r="G19" s="430" t="s">
        <v>892</v>
      </c>
      <c r="H19" s="578" t="s">
        <v>627</v>
      </c>
      <c r="I19" s="462"/>
    </row>
    <row r="20" spans="1:9" s="465" customFormat="1" ht="49.95" customHeight="1">
      <c r="A20" s="434" t="s">
        <v>221</v>
      </c>
      <c r="B20" s="435" t="s">
        <v>807</v>
      </c>
      <c r="C20" s="437">
        <v>14642</v>
      </c>
      <c r="D20" s="467">
        <v>250</v>
      </c>
      <c r="E20" s="441">
        <f t="shared" ref="E20:E23" si="5">D20-C20</f>
        <v>-14392</v>
      </c>
      <c r="F20" s="443">
        <f t="shared" ref="F20:F23" si="6">D20/C20*100</f>
        <v>1.7074170195328506</v>
      </c>
      <c r="G20" s="431" t="s">
        <v>845</v>
      </c>
      <c r="H20" s="578"/>
      <c r="I20" s="462"/>
    </row>
    <row r="21" spans="1:9" s="465" customFormat="1" ht="49.2" customHeight="1">
      <c r="A21" s="434" t="s">
        <v>222</v>
      </c>
      <c r="B21" s="386" t="s">
        <v>808</v>
      </c>
      <c r="C21" s="437">
        <v>23591</v>
      </c>
      <c r="D21" s="467">
        <v>403</v>
      </c>
      <c r="E21" s="441">
        <f t="shared" si="5"/>
        <v>-23188</v>
      </c>
      <c r="F21" s="443">
        <f t="shared" si="6"/>
        <v>1.7082785808147174</v>
      </c>
      <c r="G21" s="430" t="s">
        <v>893</v>
      </c>
      <c r="H21" s="578"/>
      <c r="I21" s="462"/>
    </row>
    <row r="22" spans="1:9" s="465" customFormat="1" ht="50.4" customHeight="1">
      <c r="A22" s="434" t="s">
        <v>223</v>
      </c>
      <c r="B22" s="386" t="s">
        <v>809</v>
      </c>
      <c r="C22" s="437">
        <v>31842</v>
      </c>
      <c r="D22" s="467">
        <v>544</v>
      </c>
      <c r="E22" s="441">
        <f t="shared" si="5"/>
        <v>-31298</v>
      </c>
      <c r="F22" s="443">
        <f t="shared" si="6"/>
        <v>1.7084353997864454</v>
      </c>
      <c r="G22" s="430" t="s">
        <v>894</v>
      </c>
      <c r="H22" s="578"/>
      <c r="I22" s="462"/>
    </row>
    <row r="23" spans="1:9" s="465" customFormat="1" ht="49.2" customHeight="1">
      <c r="A23" s="434" t="s">
        <v>224</v>
      </c>
      <c r="B23" s="386" t="s">
        <v>810</v>
      </c>
      <c r="C23" s="437">
        <v>29457</v>
      </c>
      <c r="D23" s="467">
        <v>504</v>
      </c>
      <c r="E23" s="441">
        <f t="shared" si="5"/>
        <v>-28953</v>
      </c>
      <c r="F23" s="443">
        <f t="shared" si="6"/>
        <v>1.7109685304002444</v>
      </c>
      <c r="G23" s="430" t="s">
        <v>895</v>
      </c>
      <c r="H23" s="578"/>
      <c r="I23" s="462"/>
    </row>
    <row r="24" spans="1:9" s="465" customFormat="1" ht="60" customHeight="1">
      <c r="A24" s="434" t="s">
        <v>225</v>
      </c>
      <c r="B24" s="386" t="s">
        <v>801</v>
      </c>
      <c r="C24" s="437">
        <v>171352</v>
      </c>
      <c r="D24" s="441" t="s">
        <v>858</v>
      </c>
      <c r="E24" s="441">
        <f>15239-C24</f>
        <v>-156113</v>
      </c>
      <c r="F24" s="443">
        <f>15239/C24*100</f>
        <v>8.8933890471077088</v>
      </c>
      <c r="G24" s="430" t="s">
        <v>842</v>
      </c>
      <c r="H24" s="578"/>
      <c r="I24" s="462"/>
    </row>
    <row r="25" spans="1:9" s="465" customFormat="1" ht="61.5" customHeight="1">
      <c r="A25" s="434" t="s">
        <v>226</v>
      </c>
      <c r="B25" s="428" t="s">
        <v>804</v>
      </c>
      <c r="C25" s="440">
        <v>846</v>
      </c>
      <c r="D25" s="441" t="s">
        <v>859</v>
      </c>
      <c r="E25" s="441">
        <f>1147-C25</f>
        <v>301</v>
      </c>
      <c r="F25" s="443">
        <f>1147/C25*100</f>
        <v>135.57919621749409</v>
      </c>
      <c r="G25" s="430" t="s">
        <v>839</v>
      </c>
      <c r="H25" s="578"/>
      <c r="I25" s="462"/>
    </row>
    <row r="26" spans="1:9" s="465" customFormat="1" ht="64.95" customHeight="1">
      <c r="A26" s="434" t="s">
        <v>227</v>
      </c>
      <c r="B26" s="428" t="s">
        <v>805</v>
      </c>
      <c r="C26" s="440">
        <v>332</v>
      </c>
      <c r="D26" s="441" t="s">
        <v>837</v>
      </c>
      <c r="E26" s="441">
        <f>1115-C26</f>
        <v>783</v>
      </c>
      <c r="F26" s="443">
        <f>1115/C26*100</f>
        <v>335.84337349397589</v>
      </c>
      <c r="G26" s="430" t="s">
        <v>848</v>
      </c>
      <c r="H26" s="578"/>
      <c r="I26" s="462"/>
    </row>
    <row r="27" spans="1:9" s="465" customFormat="1" ht="52.95" customHeight="1">
      <c r="A27" s="434" t="s">
        <v>228</v>
      </c>
      <c r="B27" s="387" t="s">
        <v>811</v>
      </c>
      <c r="C27" s="437">
        <v>14085</v>
      </c>
      <c r="D27" s="441">
        <v>241</v>
      </c>
      <c r="E27" s="441">
        <f t="shared" ref="E27" si="7">D27-C27</f>
        <v>-13844</v>
      </c>
      <c r="F27" s="443">
        <f t="shared" ref="F27" si="8">D27/C27*100</f>
        <v>1.711040113596024</v>
      </c>
      <c r="G27" s="430" t="s">
        <v>863</v>
      </c>
      <c r="H27" s="578"/>
      <c r="I27" s="462"/>
    </row>
    <row r="28" spans="1:9" s="465" customFormat="1" ht="47.4" customHeight="1">
      <c r="A28" s="434" t="s">
        <v>229</v>
      </c>
      <c r="B28" s="386" t="s">
        <v>812</v>
      </c>
      <c r="C28" s="437">
        <v>4330</v>
      </c>
      <c r="D28" s="441">
        <v>74</v>
      </c>
      <c r="E28" s="441">
        <f t="shared" ref="E28:E30" si="9">D28-C28</f>
        <v>-4256</v>
      </c>
      <c r="F28" s="443">
        <f t="shared" ref="F28:F30" si="10">D28/C28*100</f>
        <v>1.7090069284064664</v>
      </c>
      <c r="G28" s="430" t="s">
        <v>849</v>
      </c>
      <c r="H28" s="578"/>
      <c r="I28" s="462"/>
    </row>
    <row r="29" spans="1:9" s="465" customFormat="1" ht="48.6" customHeight="1">
      <c r="A29" s="434" t="s">
        <v>230</v>
      </c>
      <c r="B29" s="428" t="s">
        <v>816</v>
      </c>
      <c r="C29" s="440">
        <v>28946</v>
      </c>
      <c r="D29" s="441">
        <v>495</v>
      </c>
      <c r="E29" s="441">
        <f t="shared" si="9"/>
        <v>-28451</v>
      </c>
      <c r="F29" s="443">
        <f t="shared" si="10"/>
        <v>1.7100808401851724</v>
      </c>
      <c r="G29" s="430" t="s">
        <v>850</v>
      </c>
      <c r="H29" s="578"/>
      <c r="I29" s="462"/>
    </row>
    <row r="30" spans="1:9" s="465" customFormat="1" ht="46.95" customHeight="1">
      <c r="A30" s="434" t="s">
        <v>231</v>
      </c>
      <c r="B30" s="386" t="s">
        <v>841</v>
      </c>
      <c r="C30" s="437">
        <v>1806</v>
      </c>
      <c r="D30" s="441">
        <v>31</v>
      </c>
      <c r="E30" s="441">
        <f t="shared" si="9"/>
        <v>-1775</v>
      </c>
      <c r="F30" s="443">
        <f t="shared" si="10"/>
        <v>1.7165005537098561</v>
      </c>
      <c r="G30" s="430" t="s">
        <v>851</v>
      </c>
      <c r="H30" s="578"/>
      <c r="I30" s="462"/>
    </row>
    <row r="31" spans="1:9" s="465" customFormat="1" ht="60.6" customHeight="1">
      <c r="A31" s="434" t="s">
        <v>232</v>
      </c>
      <c r="B31" s="427" t="s">
        <v>802</v>
      </c>
      <c r="C31" s="438">
        <v>3939</v>
      </c>
      <c r="D31" s="441" t="s">
        <v>840</v>
      </c>
      <c r="E31" s="441">
        <f>4690-C31</f>
        <v>751</v>
      </c>
      <c r="F31" s="443">
        <f>4690/C31*100</f>
        <v>119.06575272911905</v>
      </c>
      <c r="G31" s="430" t="s">
        <v>852</v>
      </c>
      <c r="H31" s="578"/>
      <c r="I31" s="462"/>
    </row>
    <row r="32" spans="1:9" s="465" customFormat="1" ht="58.2" customHeight="1">
      <c r="A32" s="434" t="s">
        <v>233</v>
      </c>
      <c r="B32" s="427" t="s">
        <v>803</v>
      </c>
      <c r="C32" s="438">
        <v>24618</v>
      </c>
      <c r="D32" s="441" t="s">
        <v>860</v>
      </c>
      <c r="E32" s="441">
        <f>23328-C32</f>
        <v>-1290</v>
      </c>
      <c r="F32" s="443">
        <f>23328/C32*100</f>
        <v>94.759931757250797</v>
      </c>
      <c r="G32" s="430" t="s">
        <v>874</v>
      </c>
      <c r="H32" s="578" t="s">
        <v>627</v>
      </c>
      <c r="I32" s="462"/>
    </row>
    <row r="33" spans="1:9" s="465" customFormat="1" ht="48" customHeight="1">
      <c r="A33" s="434" t="s">
        <v>234</v>
      </c>
      <c r="B33" s="427" t="s">
        <v>813</v>
      </c>
      <c r="C33" s="271">
        <v>7789</v>
      </c>
      <c r="D33" s="441" t="s">
        <v>825</v>
      </c>
      <c r="E33" s="441">
        <f>133-C33</f>
        <v>-7656</v>
      </c>
      <c r="F33" s="443">
        <f>133/C33*100</f>
        <v>1.7075362690974452</v>
      </c>
      <c r="G33" s="430" t="s">
        <v>853</v>
      </c>
      <c r="H33" s="578"/>
      <c r="I33" s="462"/>
    </row>
    <row r="34" spans="1:9" s="465" customFormat="1" ht="49.2" customHeight="1">
      <c r="A34" s="434" t="s">
        <v>235</v>
      </c>
      <c r="B34" s="428" t="s">
        <v>817</v>
      </c>
      <c r="C34" s="440">
        <v>3103</v>
      </c>
      <c r="D34" s="441" t="s">
        <v>826</v>
      </c>
      <c r="E34" s="441">
        <f>53-C34</f>
        <v>-3050</v>
      </c>
      <c r="F34" s="443">
        <f>53/C34*100</f>
        <v>1.7080244924266839</v>
      </c>
      <c r="G34" s="430" t="s">
        <v>854</v>
      </c>
      <c r="H34" s="578"/>
      <c r="I34" s="462"/>
    </row>
    <row r="35" spans="1:9" s="465" customFormat="1" ht="48.6" customHeight="1">
      <c r="A35" s="434" t="s">
        <v>236</v>
      </c>
      <c r="B35" s="435" t="s">
        <v>814</v>
      </c>
      <c r="C35" s="439">
        <v>31308</v>
      </c>
      <c r="D35" s="441">
        <v>550</v>
      </c>
      <c r="E35" s="441">
        <f t="shared" ref="E35" si="11">D35-C35</f>
        <v>-30758</v>
      </c>
      <c r="F35" s="443">
        <f t="shared" ref="F35" si="12">D35/C35*100</f>
        <v>1.7567394915037691</v>
      </c>
      <c r="G35" s="430" t="s">
        <v>855</v>
      </c>
      <c r="H35" s="578"/>
      <c r="I35" s="462"/>
    </row>
    <row r="36" spans="1:9" s="465" customFormat="1" ht="47.4" customHeight="1">
      <c r="A36" s="434" t="s">
        <v>237</v>
      </c>
      <c r="B36" s="427" t="s">
        <v>815</v>
      </c>
      <c r="C36" s="438">
        <v>26485</v>
      </c>
      <c r="D36" s="441">
        <v>453</v>
      </c>
      <c r="E36" s="441">
        <f t="shared" ref="E36" si="13">D36-C36</f>
        <v>-26032</v>
      </c>
      <c r="F36" s="443">
        <f t="shared" ref="F36" si="14">D36/C36*100</f>
        <v>1.7104021144043797</v>
      </c>
      <c r="G36" s="430" t="s">
        <v>856</v>
      </c>
      <c r="H36" s="578"/>
      <c r="I36" s="462"/>
    </row>
    <row r="37" spans="1:9" s="465" customFormat="1" ht="27" customHeight="1">
      <c r="A37" s="468" t="s">
        <v>648</v>
      </c>
      <c r="B37" s="469" t="s">
        <v>119</v>
      </c>
      <c r="C37" s="470">
        <f>C38+C39+C40+C41+C42</f>
        <v>22760</v>
      </c>
      <c r="D37" s="470">
        <f>SUM(D38:D49)</f>
        <v>14990.598000000002</v>
      </c>
      <c r="E37" s="470">
        <f>D37-C37</f>
        <v>-7769.4019999999982</v>
      </c>
      <c r="F37" s="470">
        <f>D37/C37*100</f>
        <v>65.863787346221443</v>
      </c>
      <c r="G37" s="431"/>
      <c r="H37" s="462"/>
      <c r="I37" s="471"/>
    </row>
    <row r="38" spans="1:9" s="465" customFormat="1" ht="24" customHeight="1">
      <c r="A38" s="468" t="s">
        <v>155</v>
      </c>
      <c r="B38" s="430" t="s">
        <v>286</v>
      </c>
      <c r="C38" s="472">
        <v>3856</v>
      </c>
      <c r="D38" s="462">
        <v>0</v>
      </c>
      <c r="E38" s="441">
        <f t="shared" ref="E38:E42" si="15">D38-C38</f>
        <v>-3856</v>
      </c>
      <c r="F38" s="473">
        <f t="shared" ref="F38:F42" si="16">D38/C38*100</f>
        <v>0</v>
      </c>
      <c r="G38" s="446" t="s">
        <v>762</v>
      </c>
      <c r="H38" s="579" t="s">
        <v>628</v>
      </c>
      <c r="I38" s="580" t="s">
        <v>654</v>
      </c>
    </row>
    <row r="39" spans="1:9" s="465" customFormat="1" ht="49.2" customHeight="1">
      <c r="A39" s="468" t="s">
        <v>156</v>
      </c>
      <c r="B39" s="430" t="s">
        <v>288</v>
      </c>
      <c r="C39" s="472">
        <v>1069</v>
      </c>
      <c r="D39" s="390"/>
      <c r="E39" s="441">
        <f t="shared" si="15"/>
        <v>-1069</v>
      </c>
      <c r="F39" s="473">
        <f t="shared" si="16"/>
        <v>0</v>
      </c>
      <c r="G39" s="446" t="s">
        <v>867</v>
      </c>
      <c r="H39" s="579"/>
      <c r="I39" s="581"/>
    </row>
    <row r="40" spans="1:9" s="465" customFormat="1" ht="61.2" customHeight="1">
      <c r="A40" s="468" t="s">
        <v>157</v>
      </c>
      <c r="B40" s="430" t="s">
        <v>820</v>
      </c>
      <c r="C40" s="472">
        <v>14547</v>
      </c>
      <c r="D40" s="441"/>
      <c r="E40" s="473">
        <f t="shared" si="15"/>
        <v>-14547</v>
      </c>
      <c r="F40" s="473">
        <f t="shared" si="16"/>
        <v>0</v>
      </c>
      <c r="G40" s="446" t="s">
        <v>752</v>
      </c>
      <c r="H40" s="474" t="s">
        <v>630</v>
      </c>
      <c r="I40" s="581"/>
    </row>
    <row r="41" spans="1:9" s="475" customFormat="1" ht="50.4" customHeight="1">
      <c r="A41" s="468" t="s">
        <v>158</v>
      </c>
      <c r="B41" s="430" t="s">
        <v>616</v>
      </c>
      <c r="C41" s="472">
        <v>2540</v>
      </c>
      <c r="D41" s="472">
        <v>1841.4</v>
      </c>
      <c r="E41" s="473">
        <f t="shared" si="15"/>
        <v>-698.59999999999991</v>
      </c>
      <c r="F41" s="473">
        <f t="shared" si="16"/>
        <v>72.496062992125985</v>
      </c>
      <c r="G41" s="446" t="s">
        <v>868</v>
      </c>
      <c r="H41" s="441" t="s">
        <v>629</v>
      </c>
      <c r="I41" s="581"/>
    </row>
    <row r="42" spans="1:9" s="475" customFormat="1" ht="33.6" customHeight="1">
      <c r="A42" s="468" t="s">
        <v>159</v>
      </c>
      <c r="B42" s="430" t="s">
        <v>617</v>
      </c>
      <c r="C42" s="474">
        <f>(1496000/1000)/2</f>
        <v>748</v>
      </c>
      <c r="D42" s="441">
        <f>450</f>
        <v>450</v>
      </c>
      <c r="E42" s="441">
        <f t="shared" si="15"/>
        <v>-298</v>
      </c>
      <c r="F42" s="473">
        <f t="shared" si="16"/>
        <v>60.160427807486627</v>
      </c>
      <c r="G42" s="446" t="s">
        <v>876</v>
      </c>
      <c r="H42" s="583" t="s">
        <v>630</v>
      </c>
      <c r="I42" s="581"/>
    </row>
    <row r="43" spans="1:9" s="475" customFormat="1" ht="17.399999999999999" customHeight="1">
      <c r="A43" s="468" t="s">
        <v>160</v>
      </c>
      <c r="B43" s="430" t="s">
        <v>664</v>
      </c>
      <c r="C43" s="472" t="s">
        <v>560</v>
      </c>
      <c r="D43" s="462">
        <v>454</v>
      </c>
      <c r="E43" s="441"/>
      <c r="F43" s="473"/>
      <c r="G43" s="446" t="s">
        <v>750</v>
      </c>
      <c r="H43" s="583"/>
      <c r="I43" s="581"/>
    </row>
    <row r="44" spans="1:9" s="475" customFormat="1" ht="17.399999999999999" customHeight="1">
      <c r="A44" s="468" t="s">
        <v>161</v>
      </c>
      <c r="B44" s="430" t="s">
        <v>725</v>
      </c>
      <c r="C44" s="472" t="s">
        <v>560</v>
      </c>
      <c r="D44" s="443">
        <v>178.99799999999999</v>
      </c>
      <c r="E44" s="441"/>
      <c r="F44" s="473"/>
      <c r="G44" s="446" t="s">
        <v>750</v>
      </c>
      <c r="H44" s="583"/>
      <c r="I44" s="581"/>
    </row>
    <row r="45" spans="1:9" s="475" customFormat="1" ht="37.950000000000003" customHeight="1">
      <c r="A45" s="468" t="s">
        <v>162</v>
      </c>
      <c r="B45" s="430" t="s">
        <v>665</v>
      </c>
      <c r="C45" s="472" t="s">
        <v>560</v>
      </c>
      <c r="D45" s="443">
        <v>6630</v>
      </c>
      <c r="E45" s="441"/>
      <c r="F45" s="473"/>
      <c r="G45" s="446" t="s">
        <v>872</v>
      </c>
      <c r="H45" s="583"/>
      <c r="I45" s="581"/>
    </row>
    <row r="46" spans="1:9" s="475" customFormat="1" ht="35.4" customHeight="1">
      <c r="A46" s="468" t="s">
        <v>163</v>
      </c>
      <c r="B46" s="430" t="s">
        <v>726</v>
      </c>
      <c r="C46" s="472" t="s">
        <v>560</v>
      </c>
      <c r="D46" s="441"/>
      <c r="E46" s="441"/>
      <c r="F46" s="441"/>
      <c r="G46" s="446" t="s">
        <v>822</v>
      </c>
      <c r="H46" s="583"/>
      <c r="I46" s="581"/>
    </row>
    <row r="47" spans="1:9" s="475" customFormat="1" ht="49.95" customHeight="1">
      <c r="A47" s="468" t="s">
        <v>164</v>
      </c>
      <c r="B47" s="430" t="s">
        <v>767</v>
      </c>
      <c r="C47" s="472" t="s">
        <v>560</v>
      </c>
      <c r="D47" s="441">
        <v>295.39999999999998</v>
      </c>
      <c r="E47" s="441"/>
      <c r="F47" s="441"/>
      <c r="G47" s="446" t="s">
        <v>873</v>
      </c>
      <c r="H47" s="583"/>
      <c r="I47" s="582"/>
    </row>
    <row r="48" spans="1:9" s="475" customFormat="1" ht="37.950000000000003" customHeight="1">
      <c r="A48" s="468" t="s">
        <v>165</v>
      </c>
      <c r="B48" s="430" t="s">
        <v>728</v>
      </c>
      <c r="C48" s="472" t="s">
        <v>560</v>
      </c>
      <c r="D48" s="441"/>
      <c r="E48" s="441"/>
      <c r="F48" s="441"/>
      <c r="G48" s="446" t="s">
        <v>900</v>
      </c>
      <c r="H48" s="474" t="s">
        <v>629</v>
      </c>
      <c r="I48" s="476"/>
    </row>
    <row r="49" spans="1:9" s="475" customFormat="1" ht="48.6" customHeight="1">
      <c r="A49" s="468" t="s">
        <v>166</v>
      </c>
      <c r="B49" s="430" t="s">
        <v>708</v>
      </c>
      <c r="C49" s="472" t="s">
        <v>560</v>
      </c>
      <c r="D49" s="441">
        <f>5140.8</f>
        <v>5140.8</v>
      </c>
      <c r="E49" s="441"/>
      <c r="F49" s="441"/>
      <c r="G49" s="446" t="s">
        <v>899</v>
      </c>
      <c r="H49" s="474" t="s">
        <v>630</v>
      </c>
      <c r="I49" s="476"/>
    </row>
    <row r="50" spans="1:9" s="465" customFormat="1">
      <c r="A50" s="468" t="s">
        <v>649</v>
      </c>
      <c r="B50" s="469" t="s">
        <v>125</v>
      </c>
      <c r="C50" s="477">
        <f>C51+C52+C53+C54+C55+C56+C57+C58</f>
        <v>9443.1</v>
      </c>
      <c r="D50" s="477">
        <f>D51+D52+D53+D54+D55+D56+D57+D58</f>
        <v>7279</v>
      </c>
      <c r="E50" s="477">
        <f>E51+E52+E53+E54+E55+E56+E57+E58</f>
        <v>-2164.1</v>
      </c>
      <c r="F50" s="470">
        <f>D50/C50*100</f>
        <v>77.082737660302229</v>
      </c>
      <c r="G50" s="446"/>
      <c r="H50" s="472"/>
      <c r="I50" s="471"/>
    </row>
    <row r="51" spans="1:9" s="465" customFormat="1" ht="46.2" customHeight="1">
      <c r="A51" s="436" t="s">
        <v>195</v>
      </c>
      <c r="B51" s="430" t="s">
        <v>610</v>
      </c>
      <c r="C51" s="474">
        <v>1140</v>
      </c>
      <c r="D51" s="474">
        <v>1113</v>
      </c>
      <c r="E51" s="441">
        <f>D51-C51</f>
        <v>-27</v>
      </c>
      <c r="F51" s="473">
        <f>D51/C51*100</f>
        <v>97.631578947368425</v>
      </c>
      <c r="G51" s="446" t="s">
        <v>750</v>
      </c>
      <c r="H51" s="572" t="s">
        <v>769</v>
      </c>
      <c r="I51" s="575" t="s">
        <v>653</v>
      </c>
    </row>
    <row r="52" spans="1:9" s="463" customFormat="1" ht="12.6" customHeight="1">
      <c r="A52" s="436" t="s">
        <v>196</v>
      </c>
      <c r="B52" s="430" t="s">
        <v>624</v>
      </c>
      <c r="C52" s="478">
        <v>180</v>
      </c>
      <c r="D52" s="462">
        <v>174</v>
      </c>
      <c r="E52" s="441">
        <f>D52-C52</f>
        <v>-6</v>
      </c>
      <c r="F52" s="473">
        <f t="shared" ref="F52:F79" si="17">D52/C52*100</f>
        <v>96.666666666666671</v>
      </c>
      <c r="G52" s="446" t="s">
        <v>750</v>
      </c>
      <c r="H52" s="573"/>
      <c r="I52" s="575"/>
    </row>
    <row r="53" spans="1:9" s="463" customFormat="1" ht="20.399999999999999" customHeight="1">
      <c r="A53" s="436" t="s">
        <v>197</v>
      </c>
      <c r="B53" s="430" t="s">
        <v>625</v>
      </c>
      <c r="C53" s="478">
        <v>60</v>
      </c>
      <c r="D53" s="462">
        <v>57</v>
      </c>
      <c r="E53" s="441">
        <f>D53-C53</f>
        <v>-3</v>
      </c>
      <c r="F53" s="473">
        <f t="shared" si="17"/>
        <v>95</v>
      </c>
      <c r="G53" s="446" t="s">
        <v>750</v>
      </c>
      <c r="H53" s="573"/>
      <c r="I53" s="575"/>
    </row>
    <row r="54" spans="1:9" s="475" customFormat="1" ht="21" customHeight="1">
      <c r="A54" s="436" t="s">
        <v>198</v>
      </c>
      <c r="B54" s="430" t="s">
        <v>619</v>
      </c>
      <c r="C54" s="478">
        <v>46</v>
      </c>
      <c r="D54" s="462">
        <v>46</v>
      </c>
      <c r="E54" s="441">
        <f t="shared" ref="E54:E57" si="18">D54-C54</f>
        <v>0</v>
      </c>
      <c r="F54" s="473">
        <f t="shared" si="17"/>
        <v>100</v>
      </c>
      <c r="G54" s="446" t="s">
        <v>750</v>
      </c>
      <c r="H54" s="573"/>
      <c r="I54" s="575"/>
    </row>
    <row r="55" spans="1:9" s="475" customFormat="1" ht="108.6" customHeight="1">
      <c r="A55" s="436" t="s">
        <v>199</v>
      </c>
      <c r="B55" s="430" t="s">
        <v>644</v>
      </c>
      <c r="C55" s="474">
        <v>6924</v>
      </c>
      <c r="D55" s="474">
        <f>3799+1000</f>
        <v>4799</v>
      </c>
      <c r="E55" s="441">
        <f t="shared" si="18"/>
        <v>-2125</v>
      </c>
      <c r="F55" s="473">
        <f t="shared" si="17"/>
        <v>69.309647602541872</v>
      </c>
      <c r="G55" s="449" t="s">
        <v>823</v>
      </c>
      <c r="H55" s="573"/>
      <c r="I55" s="575" t="s">
        <v>653</v>
      </c>
    </row>
    <row r="56" spans="1:9" s="475" customFormat="1" ht="22.95" customHeight="1">
      <c r="A56" s="436" t="s">
        <v>246</v>
      </c>
      <c r="B56" s="430" t="s">
        <v>626</v>
      </c>
      <c r="C56" s="474">
        <f>1*599</f>
        <v>599</v>
      </c>
      <c r="D56" s="462">
        <v>599</v>
      </c>
      <c r="E56" s="441">
        <f t="shared" si="18"/>
        <v>0</v>
      </c>
      <c r="F56" s="473">
        <f t="shared" si="17"/>
        <v>100</v>
      </c>
      <c r="G56" s="446" t="s">
        <v>750</v>
      </c>
      <c r="H56" s="573"/>
      <c r="I56" s="575"/>
    </row>
    <row r="57" spans="1:9" s="475" customFormat="1" ht="25.2" customHeight="1">
      <c r="A57" s="436" t="s">
        <v>247</v>
      </c>
      <c r="B57" s="430" t="s">
        <v>609</v>
      </c>
      <c r="C57" s="474">
        <f>2*221.5</f>
        <v>443</v>
      </c>
      <c r="D57" s="462">
        <v>440</v>
      </c>
      <c r="E57" s="441">
        <f t="shared" si="18"/>
        <v>-3</v>
      </c>
      <c r="F57" s="473">
        <f t="shared" si="17"/>
        <v>99.322799097065456</v>
      </c>
      <c r="G57" s="446" t="s">
        <v>750</v>
      </c>
      <c r="H57" s="573"/>
      <c r="I57" s="575"/>
    </row>
    <row r="58" spans="1:9" s="475" customFormat="1" ht="21.6" customHeight="1">
      <c r="A58" s="436" t="s">
        <v>248</v>
      </c>
      <c r="B58" s="430" t="s">
        <v>620</v>
      </c>
      <c r="C58" s="474">
        <f>1*51.1</f>
        <v>51.1</v>
      </c>
      <c r="D58" s="462">
        <v>51</v>
      </c>
      <c r="E58" s="441">
        <f>D58-C58</f>
        <v>-0.10000000000000142</v>
      </c>
      <c r="F58" s="473">
        <f t="shared" si="17"/>
        <v>99.80430528375733</v>
      </c>
      <c r="G58" s="446" t="s">
        <v>750</v>
      </c>
      <c r="H58" s="573"/>
      <c r="I58" s="575"/>
    </row>
    <row r="59" spans="1:9" s="475" customFormat="1" ht="15.6" customHeight="1">
      <c r="A59" s="436" t="s">
        <v>770</v>
      </c>
      <c r="B59" s="431" t="s">
        <v>795</v>
      </c>
      <c r="C59" s="441" t="s">
        <v>560</v>
      </c>
      <c r="D59" s="441"/>
      <c r="E59" s="441">
        <f>D59</f>
        <v>0</v>
      </c>
      <c r="F59" s="473"/>
      <c r="G59" s="446" t="s">
        <v>798</v>
      </c>
      <c r="H59" s="573"/>
      <c r="I59" s="462"/>
    </row>
    <row r="60" spans="1:9" s="475" customFormat="1" ht="14.4" customHeight="1">
      <c r="A60" s="436" t="s">
        <v>771</v>
      </c>
      <c r="B60" s="431" t="s">
        <v>794</v>
      </c>
      <c r="C60" s="441" t="s">
        <v>560</v>
      </c>
      <c r="D60" s="441"/>
      <c r="E60" s="441">
        <f t="shared" ref="E60:E62" si="19">D60</f>
        <v>0</v>
      </c>
      <c r="F60" s="473"/>
      <c r="G60" s="446" t="s">
        <v>798</v>
      </c>
      <c r="H60" s="573"/>
      <c r="I60" s="462"/>
    </row>
    <row r="61" spans="1:9" s="475" customFormat="1" ht="15.6" customHeight="1">
      <c r="A61" s="436" t="s">
        <v>772</v>
      </c>
      <c r="B61" s="431" t="s">
        <v>796</v>
      </c>
      <c r="C61" s="441" t="s">
        <v>560</v>
      </c>
      <c r="D61" s="441"/>
      <c r="E61" s="441">
        <f t="shared" si="19"/>
        <v>0</v>
      </c>
      <c r="F61" s="473"/>
      <c r="G61" s="446" t="s">
        <v>798</v>
      </c>
      <c r="H61" s="573"/>
      <c r="I61" s="462"/>
    </row>
    <row r="62" spans="1:9" s="475" customFormat="1" ht="15.6" customHeight="1">
      <c r="A62" s="436" t="s">
        <v>773</v>
      </c>
      <c r="B62" s="431" t="s">
        <v>797</v>
      </c>
      <c r="C62" s="441" t="s">
        <v>560</v>
      </c>
      <c r="D62" s="441"/>
      <c r="E62" s="441">
        <f t="shared" si="19"/>
        <v>0</v>
      </c>
      <c r="F62" s="473"/>
      <c r="G62" s="446" t="s">
        <v>798</v>
      </c>
      <c r="H62" s="574"/>
      <c r="I62" s="462"/>
    </row>
    <row r="63" spans="1:9" s="463" customFormat="1" ht="19.2" customHeight="1">
      <c r="A63" s="436" t="s">
        <v>650</v>
      </c>
      <c r="B63" s="479" t="s">
        <v>251</v>
      </c>
      <c r="C63" s="444">
        <f>SUM(C64:C66)</f>
        <v>170412</v>
      </c>
      <c r="D63" s="480">
        <f>SUM(D64:D69)</f>
        <v>173501.59500000003</v>
      </c>
      <c r="E63" s="444">
        <f>D63-C63</f>
        <v>3089.5950000000303</v>
      </c>
      <c r="F63" s="470">
        <f t="shared" si="17"/>
        <v>101.81301492852617</v>
      </c>
      <c r="G63" s="450"/>
      <c r="H63" s="441"/>
      <c r="I63" s="461"/>
    </row>
    <row r="64" spans="1:9" s="463" customFormat="1" ht="34.950000000000003" customHeight="1">
      <c r="A64" s="436" t="s">
        <v>11</v>
      </c>
      <c r="B64" s="431" t="s">
        <v>621</v>
      </c>
      <c r="C64" s="441">
        <v>313</v>
      </c>
      <c r="D64" s="462">
        <v>312</v>
      </c>
      <c r="E64" s="441">
        <f>D64-C64</f>
        <v>-1</v>
      </c>
      <c r="F64" s="473">
        <f t="shared" si="17"/>
        <v>99.680511182108617</v>
      </c>
      <c r="G64" s="446" t="s">
        <v>788</v>
      </c>
      <c r="H64" s="572" t="s">
        <v>632</v>
      </c>
      <c r="I64" s="462" t="s">
        <v>653</v>
      </c>
    </row>
    <row r="65" spans="1:9" s="463" customFormat="1" ht="25.2" customHeight="1">
      <c r="A65" s="436" t="s">
        <v>12</v>
      </c>
      <c r="B65" s="431" t="s">
        <v>622</v>
      </c>
      <c r="C65" s="441">
        <v>685</v>
      </c>
      <c r="D65" s="441">
        <v>0</v>
      </c>
      <c r="E65" s="441">
        <f t="shared" ref="E65:E66" si="20">D65-C65</f>
        <v>-685</v>
      </c>
      <c r="F65" s="441">
        <v>0</v>
      </c>
      <c r="G65" s="431" t="s">
        <v>824</v>
      </c>
      <c r="H65" s="574"/>
      <c r="I65" s="476"/>
    </row>
    <row r="66" spans="1:9" s="463" customFormat="1" ht="59.4" customHeight="1">
      <c r="A66" s="481" t="s">
        <v>27</v>
      </c>
      <c r="B66" s="482" t="s">
        <v>623</v>
      </c>
      <c r="C66" s="442">
        <v>169414</v>
      </c>
      <c r="D66" s="514">
        <f>133490.2+2678.6+2678.5+2678.5+2678.5+5357.1+5357.1+3415.095+2678.6+4017.9</f>
        <v>165030.09500000003</v>
      </c>
      <c r="E66" s="441">
        <f t="shared" si="20"/>
        <v>-4383.9049999999697</v>
      </c>
      <c r="F66" s="483">
        <f t="shared" si="17"/>
        <v>97.412312441710853</v>
      </c>
      <c r="G66" s="449" t="s">
        <v>681</v>
      </c>
      <c r="H66" s="442" t="s">
        <v>656</v>
      </c>
      <c r="I66" s="476" t="s">
        <v>653</v>
      </c>
    </row>
    <row r="67" spans="1:9" s="463" customFormat="1" ht="16.95" customHeight="1">
      <c r="A67" s="481" t="s">
        <v>28</v>
      </c>
      <c r="B67" s="431" t="s">
        <v>765</v>
      </c>
      <c r="C67" s="441" t="s">
        <v>560</v>
      </c>
      <c r="D67" s="462">
        <f>2*23</f>
        <v>46</v>
      </c>
      <c r="E67" s="441">
        <v>46</v>
      </c>
      <c r="F67" s="441">
        <v>100</v>
      </c>
      <c r="G67" s="446" t="s">
        <v>750</v>
      </c>
      <c r="H67" s="441" t="s">
        <v>632</v>
      </c>
      <c r="I67" s="476"/>
    </row>
    <row r="68" spans="1:9" s="463" customFormat="1" ht="42" customHeight="1">
      <c r="A68" s="481" t="s">
        <v>29</v>
      </c>
      <c r="B68" s="431" t="s">
        <v>757</v>
      </c>
      <c r="C68" s="441" t="s">
        <v>560</v>
      </c>
      <c r="D68" s="515">
        <v>7836.5</v>
      </c>
      <c r="E68" s="441">
        <f>D68</f>
        <v>7836.5</v>
      </c>
      <c r="F68" s="441">
        <v>0</v>
      </c>
      <c r="G68" s="431" t="s">
        <v>880</v>
      </c>
      <c r="H68" s="441" t="s">
        <v>632</v>
      </c>
      <c r="I68" s="476"/>
    </row>
    <row r="69" spans="1:9" s="463" customFormat="1" ht="24.6" customHeight="1">
      <c r="A69" s="481" t="s">
        <v>776</v>
      </c>
      <c r="B69" s="431" t="s">
        <v>777</v>
      </c>
      <c r="C69" s="441" t="s">
        <v>560</v>
      </c>
      <c r="D69" s="484">
        <v>277</v>
      </c>
      <c r="E69" s="441">
        <f>D69</f>
        <v>277</v>
      </c>
      <c r="F69" s="441">
        <v>0</v>
      </c>
      <c r="G69" s="446" t="s">
        <v>784</v>
      </c>
      <c r="H69" s="441" t="s">
        <v>778</v>
      </c>
      <c r="I69" s="476"/>
    </row>
    <row r="70" spans="1:9" s="463" customFormat="1" ht="19.95" customHeight="1">
      <c r="A70" s="485" t="s">
        <v>651</v>
      </c>
      <c r="B70" s="469" t="s">
        <v>128</v>
      </c>
      <c r="C70" s="444">
        <f>C71+C72+C73+C74+C75+C76</f>
        <v>46159.82142857142</v>
      </c>
      <c r="D70" s="444">
        <f>SUM(D71:D78)</f>
        <v>46413.392999999996</v>
      </c>
      <c r="E70" s="444">
        <f t="shared" ref="E70:E76" si="21">D70-C70</f>
        <v>253.57157142857614</v>
      </c>
      <c r="F70" s="470">
        <f t="shared" si="17"/>
        <v>100.54933395230083</v>
      </c>
      <c r="G70" s="450"/>
      <c r="H70" s="441"/>
      <c r="I70" s="461"/>
    </row>
    <row r="71" spans="1:9" s="463" customFormat="1" ht="16.95" customHeight="1">
      <c r="A71" s="485" t="s">
        <v>201</v>
      </c>
      <c r="B71" s="430" t="s">
        <v>611</v>
      </c>
      <c r="C71" s="474">
        <f>(12000000/1.12/1000)</f>
        <v>10714.285714285712</v>
      </c>
      <c r="D71" s="441">
        <v>10660.4</v>
      </c>
      <c r="E71" s="441">
        <f t="shared" si="21"/>
        <v>-53.885714285712311</v>
      </c>
      <c r="F71" s="473">
        <f t="shared" si="17"/>
        <v>99.497066666666683</v>
      </c>
      <c r="G71" s="446" t="s">
        <v>750</v>
      </c>
      <c r="H71" s="578" t="s">
        <v>634</v>
      </c>
      <c r="I71" s="575" t="s">
        <v>657</v>
      </c>
    </row>
    <row r="72" spans="1:9" s="463" customFormat="1" ht="16.95" customHeight="1">
      <c r="A72" s="485" t="s">
        <v>202</v>
      </c>
      <c r="B72" s="430" t="s">
        <v>668</v>
      </c>
      <c r="C72" s="474">
        <f>(8251000/1.12/1000)*1</f>
        <v>7366.9642857142853</v>
      </c>
      <c r="D72" s="474">
        <v>6574.1</v>
      </c>
      <c r="E72" s="441">
        <f t="shared" si="21"/>
        <v>-792.86428571428496</v>
      </c>
      <c r="F72" s="473">
        <f t="shared" si="17"/>
        <v>89.237571203490489</v>
      </c>
      <c r="G72" s="446" t="s">
        <v>750</v>
      </c>
      <c r="H72" s="578"/>
      <c r="I72" s="575"/>
    </row>
    <row r="73" spans="1:9" s="463" customFormat="1" ht="27" customHeight="1">
      <c r="A73" s="485" t="s">
        <v>203</v>
      </c>
      <c r="B73" s="430" t="s">
        <v>612</v>
      </c>
      <c r="C73" s="474">
        <f>(6286000/1.12/1000)*2</f>
        <v>11224.999999999998</v>
      </c>
      <c r="D73" s="474">
        <f>6800+3950.893</f>
        <v>10750.893</v>
      </c>
      <c r="E73" s="441">
        <f t="shared" si="21"/>
        <v>-474.10699999999815</v>
      </c>
      <c r="F73" s="473">
        <f t="shared" si="17"/>
        <v>95.776329621380867</v>
      </c>
      <c r="G73" s="446" t="s">
        <v>750</v>
      </c>
      <c r="H73" s="578" t="s">
        <v>634</v>
      </c>
      <c r="I73" s="575"/>
    </row>
    <row r="74" spans="1:9" s="463" customFormat="1" ht="17.399999999999999" customHeight="1">
      <c r="A74" s="485" t="s">
        <v>204</v>
      </c>
      <c r="B74" s="430" t="s">
        <v>613</v>
      </c>
      <c r="C74" s="474">
        <f>(16200000/1.12/1000)*1</f>
        <v>14464.285714285712</v>
      </c>
      <c r="D74" s="390">
        <v>15692</v>
      </c>
      <c r="E74" s="441">
        <f t="shared" si="21"/>
        <v>1227.7142857142881</v>
      </c>
      <c r="F74" s="473">
        <f t="shared" si="17"/>
        <v>108.48790123456793</v>
      </c>
      <c r="G74" s="446" t="s">
        <v>750</v>
      </c>
      <c r="H74" s="578"/>
      <c r="I74" s="575"/>
    </row>
    <row r="75" spans="1:9" s="486" customFormat="1" ht="17.399999999999999" customHeight="1">
      <c r="A75" s="485" t="s">
        <v>205</v>
      </c>
      <c r="B75" s="430" t="s">
        <v>614</v>
      </c>
      <c r="C75" s="474">
        <f>(950000/1.12/1000)*2</f>
        <v>1696.4285714285713</v>
      </c>
      <c r="D75" s="474">
        <v>1696</v>
      </c>
      <c r="E75" s="441">
        <f t="shared" si="21"/>
        <v>-0.42857142857133113</v>
      </c>
      <c r="F75" s="473">
        <f t="shared" si="17"/>
        <v>99.974736842105273</v>
      </c>
      <c r="G75" s="446" t="s">
        <v>750</v>
      </c>
      <c r="H75" s="578"/>
      <c r="I75" s="575" t="s">
        <v>657</v>
      </c>
    </row>
    <row r="76" spans="1:9" s="486" customFormat="1" ht="17.399999999999999" customHeight="1">
      <c r="A76" s="485" t="s">
        <v>206</v>
      </c>
      <c r="B76" s="430" t="s">
        <v>615</v>
      </c>
      <c r="C76" s="474">
        <f>(776000/1.12/1000)*1</f>
        <v>692.85714285714289</v>
      </c>
      <c r="D76" s="462">
        <v>693</v>
      </c>
      <c r="E76" s="441">
        <f t="shared" si="21"/>
        <v>0.14285714285711038</v>
      </c>
      <c r="F76" s="473">
        <f t="shared" si="17"/>
        <v>100.02061855670104</v>
      </c>
      <c r="G76" s="446" t="s">
        <v>750</v>
      </c>
      <c r="H76" s="578"/>
      <c r="I76" s="575"/>
    </row>
    <row r="77" spans="1:9" s="486" customFormat="1" ht="27" customHeight="1">
      <c r="A77" s="485" t="s">
        <v>207</v>
      </c>
      <c r="B77" s="430" t="s">
        <v>763</v>
      </c>
      <c r="C77" s="474" t="s">
        <v>560</v>
      </c>
      <c r="D77" s="462">
        <v>347</v>
      </c>
      <c r="E77" s="441">
        <f>D77</f>
        <v>347</v>
      </c>
      <c r="F77" s="473">
        <v>0</v>
      </c>
      <c r="G77" s="446" t="s">
        <v>877</v>
      </c>
      <c r="H77" s="578"/>
      <c r="I77" s="462"/>
    </row>
    <row r="78" spans="1:9" s="463" customFormat="1" ht="34.950000000000003" customHeight="1">
      <c r="A78" s="481" t="s">
        <v>774</v>
      </c>
      <c r="B78" s="430" t="s">
        <v>782</v>
      </c>
      <c r="C78" s="474" t="s">
        <v>560</v>
      </c>
      <c r="D78" s="462"/>
      <c r="E78" s="441"/>
      <c r="F78" s="473"/>
      <c r="G78" s="451" t="s">
        <v>869</v>
      </c>
      <c r="H78" s="578"/>
      <c r="I78" s="476"/>
    </row>
    <row r="79" spans="1:9" s="463" customFormat="1" ht="16.95" customHeight="1">
      <c r="A79" s="485"/>
      <c r="B79" s="469" t="s">
        <v>134</v>
      </c>
      <c r="C79" s="444">
        <f>SUM(C81:C89)</f>
        <v>887</v>
      </c>
      <c r="D79" s="444">
        <f>SUM(D81:D93)</f>
        <v>1444</v>
      </c>
      <c r="E79" s="444">
        <f>D79-C79</f>
        <v>557</v>
      </c>
      <c r="F79" s="470">
        <f t="shared" si="17"/>
        <v>162.79594137542276</v>
      </c>
      <c r="G79" s="446"/>
      <c r="H79" s="441"/>
      <c r="I79" s="462" t="s">
        <v>658</v>
      </c>
    </row>
    <row r="80" spans="1:9" s="486" customFormat="1" ht="17.399999999999999" hidden="1" customHeight="1">
      <c r="A80" s="485" t="s">
        <v>647</v>
      </c>
      <c r="B80" s="431" t="s">
        <v>635</v>
      </c>
      <c r="C80" s="441">
        <v>483</v>
      </c>
      <c r="D80" s="478"/>
      <c r="E80" s="478"/>
      <c r="F80" s="478"/>
      <c r="G80" s="446" t="s">
        <v>750</v>
      </c>
      <c r="H80" s="441" t="s">
        <v>634</v>
      </c>
      <c r="I80" s="487"/>
    </row>
    <row r="81" spans="1:9" s="486" customFormat="1" ht="18" customHeight="1">
      <c r="A81" s="485" t="s">
        <v>647</v>
      </c>
      <c r="B81" s="431" t="s">
        <v>688</v>
      </c>
      <c r="C81" s="478">
        <v>133</v>
      </c>
      <c r="D81" s="478">
        <v>121</v>
      </c>
      <c r="E81" s="441">
        <f t="shared" ref="E81:E89" si="22">D81-C81</f>
        <v>-12</v>
      </c>
      <c r="F81" s="473">
        <f t="shared" ref="F81:F89" si="23">D81/C81*100</f>
        <v>90.977443609022558</v>
      </c>
      <c r="G81" s="446" t="s">
        <v>750</v>
      </c>
      <c r="H81" s="572" t="s">
        <v>669</v>
      </c>
      <c r="I81" s="586"/>
    </row>
    <row r="82" spans="1:9" s="486" customFormat="1" ht="18" customHeight="1">
      <c r="A82" s="485" t="s">
        <v>690</v>
      </c>
      <c r="B82" s="488" t="s">
        <v>700</v>
      </c>
      <c r="C82" s="478">
        <v>172</v>
      </c>
      <c r="D82" s="478">
        <v>162</v>
      </c>
      <c r="E82" s="441">
        <f t="shared" si="22"/>
        <v>-10</v>
      </c>
      <c r="F82" s="473">
        <f t="shared" si="23"/>
        <v>94.186046511627907</v>
      </c>
      <c r="G82" s="446" t="s">
        <v>750</v>
      </c>
      <c r="H82" s="573"/>
      <c r="I82" s="586"/>
    </row>
    <row r="83" spans="1:9" s="486" customFormat="1" ht="18" customHeight="1">
      <c r="A83" s="485" t="s">
        <v>691</v>
      </c>
      <c r="B83" s="488" t="s">
        <v>670</v>
      </c>
      <c r="C83" s="478">
        <v>78</v>
      </c>
      <c r="D83" s="489">
        <v>35</v>
      </c>
      <c r="E83" s="441">
        <f t="shared" si="22"/>
        <v>-43</v>
      </c>
      <c r="F83" s="473">
        <f t="shared" si="23"/>
        <v>44.871794871794876</v>
      </c>
      <c r="G83" s="446" t="s">
        <v>750</v>
      </c>
      <c r="H83" s="573"/>
      <c r="I83" s="586"/>
    </row>
    <row r="84" spans="1:9" s="486" customFormat="1" ht="18" customHeight="1">
      <c r="A84" s="485" t="s">
        <v>692</v>
      </c>
      <c r="B84" s="488" t="s">
        <v>671</v>
      </c>
      <c r="C84" s="478">
        <v>37</v>
      </c>
      <c r="D84" s="478">
        <v>29</v>
      </c>
      <c r="E84" s="441">
        <f t="shared" si="22"/>
        <v>-8</v>
      </c>
      <c r="F84" s="473">
        <f t="shared" si="23"/>
        <v>78.378378378378372</v>
      </c>
      <c r="G84" s="446" t="s">
        <v>750</v>
      </c>
      <c r="H84" s="573"/>
      <c r="I84" s="586"/>
    </row>
    <row r="85" spans="1:9" s="486" customFormat="1" ht="18" customHeight="1">
      <c r="A85" s="485" t="s">
        <v>693</v>
      </c>
      <c r="B85" s="488" t="s">
        <v>672</v>
      </c>
      <c r="C85" s="478">
        <v>113</v>
      </c>
      <c r="D85" s="478">
        <v>64</v>
      </c>
      <c r="E85" s="441">
        <f t="shared" si="22"/>
        <v>-49</v>
      </c>
      <c r="F85" s="473">
        <f t="shared" si="23"/>
        <v>56.637168141592923</v>
      </c>
      <c r="G85" s="446" t="s">
        <v>750</v>
      </c>
      <c r="H85" s="573"/>
      <c r="I85" s="586"/>
    </row>
    <row r="86" spans="1:9" s="486" customFormat="1" ht="18" customHeight="1">
      <c r="A86" s="485" t="s">
        <v>694</v>
      </c>
      <c r="B86" s="488" t="s">
        <v>673</v>
      </c>
      <c r="C86" s="489">
        <v>58</v>
      </c>
      <c r="D86" s="489">
        <v>39</v>
      </c>
      <c r="E86" s="441">
        <f t="shared" si="22"/>
        <v>-19</v>
      </c>
      <c r="F86" s="473">
        <f t="shared" si="23"/>
        <v>67.241379310344826</v>
      </c>
      <c r="G86" s="446" t="s">
        <v>750</v>
      </c>
      <c r="H86" s="573"/>
      <c r="I86" s="587"/>
    </row>
    <row r="87" spans="1:9" s="486" customFormat="1" ht="19.2" customHeight="1">
      <c r="A87" s="485" t="s">
        <v>695</v>
      </c>
      <c r="B87" s="488" t="s">
        <v>674</v>
      </c>
      <c r="C87" s="478">
        <v>104</v>
      </c>
      <c r="D87" s="478">
        <v>100</v>
      </c>
      <c r="E87" s="441">
        <f t="shared" si="22"/>
        <v>-4</v>
      </c>
      <c r="F87" s="473">
        <f t="shared" si="23"/>
        <v>96.15384615384616</v>
      </c>
      <c r="G87" s="446" t="s">
        <v>750</v>
      </c>
      <c r="H87" s="573"/>
      <c r="I87" s="490"/>
    </row>
    <row r="88" spans="1:9" s="486" customFormat="1" ht="19.2" customHeight="1">
      <c r="A88" s="485" t="s">
        <v>696</v>
      </c>
      <c r="B88" s="488" t="s">
        <v>675</v>
      </c>
      <c r="C88" s="478">
        <v>110</v>
      </c>
      <c r="D88" s="489">
        <v>76</v>
      </c>
      <c r="E88" s="441">
        <f t="shared" si="22"/>
        <v>-34</v>
      </c>
      <c r="F88" s="473">
        <f t="shared" si="23"/>
        <v>69.090909090909093</v>
      </c>
      <c r="G88" s="446" t="s">
        <v>750</v>
      </c>
      <c r="H88" s="573"/>
      <c r="I88" s="490"/>
    </row>
    <row r="89" spans="1:9" s="486" customFormat="1" ht="18" customHeight="1">
      <c r="A89" s="485" t="s">
        <v>697</v>
      </c>
      <c r="B89" s="488" t="s">
        <v>682</v>
      </c>
      <c r="C89" s="489">
        <v>82</v>
      </c>
      <c r="D89" s="489">
        <v>77</v>
      </c>
      <c r="E89" s="441">
        <f t="shared" si="22"/>
        <v>-5</v>
      </c>
      <c r="F89" s="473">
        <f t="shared" si="23"/>
        <v>93.902439024390233</v>
      </c>
      <c r="G89" s="446" t="s">
        <v>750</v>
      </c>
      <c r="H89" s="573"/>
      <c r="I89" s="490"/>
    </row>
    <row r="90" spans="1:9" s="486" customFormat="1" ht="25.95" customHeight="1">
      <c r="A90" s="485" t="s">
        <v>722</v>
      </c>
      <c r="B90" s="488" t="s">
        <v>760</v>
      </c>
      <c r="C90" s="491" t="s">
        <v>560</v>
      </c>
      <c r="D90" s="489">
        <v>164</v>
      </c>
      <c r="E90" s="441"/>
      <c r="F90" s="473"/>
      <c r="G90" s="430" t="s">
        <v>879</v>
      </c>
      <c r="H90" s="573"/>
      <c r="I90" s="490"/>
    </row>
    <row r="91" spans="1:9" s="486" customFormat="1" ht="36.6" customHeight="1">
      <c r="A91" s="485" t="s">
        <v>723</v>
      </c>
      <c r="B91" s="488" t="s">
        <v>761</v>
      </c>
      <c r="C91" s="491" t="s">
        <v>560</v>
      </c>
      <c r="D91" s="489">
        <v>356</v>
      </c>
      <c r="E91" s="441"/>
      <c r="F91" s="473"/>
      <c r="G91" s="430" t="s">
        <v>871</v>
      </c>
      <c r="H91" s="573"/>
      <c r="I91" s="490"/>
    </row>
    <row r="92" spans="1:9" s="486" customFormat="1" ht="23.4" customHeight="1">
      <c r="A92" s="485" t="s">
        <v>724</v>
      </c>
      <c r="B92" s="451" t="s">
        <v>758</v>
      </c>
      <c r="C92" s="491" t="s">
        <v>560</v>
      </c>
      <c r="D92" s="489">
        <v>171</v>
      </c>
      <c r="E92" s="441">
        <f>D92</f>
        <v>171</v>
      </c>
      <c r="F92" s="473">
        <v>0</v>
      </c>
      <c r="G92" s="446" t="s">
        <v>750</v>
      </c>
      <c r="H92" s="573"/>
      <c r="I92" s="490"/>
    </row>
    <row r="93" spans="1:9" s="486" customFormat="1" ht="19.2" customHeight="1">
      <c r="A93" s="485" t="s">
        <v>759</v>
      </c>
      <c r="B93" s="488" t="s">
        <v>716</v>
      </c>
      <c r="C93" s="491" t="s">
        <v>560</v>
      </c>
      <c r="D93" s="489">
        <v>50</v>
      </c>
      <c r="E93" s="441">
        <f>D93</f>
        <v>50</v>
      </c>
      <c r="F93" s="473">
        <v>0</v>
      </c>
      <c r="G93" s="446" t="s">
        <v>750</v>
      </c>
      <c r="H93" s="574"/>
      <c r="I93" s="490"/>
    </row>
    <row r="94" spans="1:9" ht="18" customHeight="1">
      <c r="A94" s="492"/>
      <c r="B94" s="458" t="s">
        <v>95</v>
      </c>
      <c r="C94" s="448">
        <f>440139+448528+C37+C50+C63+C70+C79</f>
        <v>1138328.9214285715</v>
      </c>
      <c r="D94" s="493">
        <f>245317+49765+D37+D50+D63+D70+D79</f>
        <v>538710.58600000001</v>
      </c>
      <c r="E94" s="494">
        <f>D94-C94</f>
        <v>-599618.33542857144</v>
      </c>
      <c r="F94" s="494">
        <f>D94/C94*100</f>
        <v>47.324685849493576</v>
      </c>
      <c r="G94" s="452"/>
      <c r="H94" s="448"/>
      <c r="I94" s="495"/>
    </row>
    <row r="95" spans="1:9" ht="18" customHeight="1">
      <c r="A95" s="496"/>
      <c r="B95" s="497"/>
      <c r="C95" s="498"/>
      <c r="D95" s="499"/>
      <c r="E95" s="500"/>
      <c r="F95" s="500"/>
      <c r="G95" s="453"/>
      <c r="H95" s="498"/>
      <c r="I95" s="501"/>
    </row>
    <row r="96" spans="1:9" ht="15.75" customHeight="1">
      <c r="A96" s="496"/>
      <c r="B96" s="497"/>
      <c r="C96" s="498"/>
      <c r="D96" s="502"/>
      <c r="E96" s="503"/>
      <c r="F96" s="503"/>
      <c r="G96" s="453"/>
      <c r="H96" s="498"/>
    </row>
    <row r="97" spans="2:8" hidden="1">
      <c r="B97" s="584" t="s">
        <v>753</v>
      </c>
      <c r="C97" s="584"/>
      <c r="D97" s="584"/>
      <c r="E97" s="584"/>
      <c r="F97" s="584"/>
      <c r="G97" s="584"/>
      <c r="H97" s="584"/>
    </row>
    <row r="100" spans="2:8" hidden="1"/>
    <row r="101" spans="2:8" ht="12.6" customHeight="1">
      <c r="B101" s="585" t="s">
        <v>637</v>
      </c>
      <c r="C101" s="585"/>
      <c r="D101" s="585"/>
      <c r="E101" s="585"/>
      <c r="F101" s="585"/>
      <c r="G101" s="585"/>
      <c r="H101" s="585"/>
    </row>
  </sheetData>
  <mergeCells count="23">
    <mergeCell ref="B1:I1"/>
    <mergeCell ref="A2:I2"/>
    <mergeCell ref="E4:H4"/>
    <mergeCell ref="H8:H14"/>
    <mergeCell ref="H38:H39"/>
    <mergeCell ref="I38:I40"/>
    <mergeCell ref="I41:I47"/>
    <mergeCell ref="H42:H47"/>
    <mergeCell ref="H51:H62"/>
    <mergeCell ref="I51:I54"/>
    <mergeCell ref="I55:I58"/>
    <mergeCell ref="I71:I74"/>
    <mergeCell ref="I75:I76"/>
    <mergeCell ref="H81:H93"/>
    <mergeCell ref="I81:I86"/>
    <mergeCell ref="B97:H97"/>
    <mergeCell ref="B101:H101"/>
    <mergeCell ref="H17:H18"/>
    <mergeCell ref="H71:H72"/>
    <mergeCell ref="H73:H78"/>
    <mergeCell ref="H19:H31"/>
    <mergeCell ref="H32:H36"/>
    <mergeCell ref="H64:H65"/>
  </mergeCells>
  <pageMargins left="0.70866141732283472" right="0" top="0.23622047244094491" bottom="0.31496062992125984" header="0.23622047244094491" footer="0.31496062992125984"/>
  <pageSetup paperSize="9" scale="75" orientation="landscape" horizontalDpi="180" verticalDpi="180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C00000"/>
  </sheetPr>
  <dimension ref="A1:I80"/>
  <sheetViews>
    <sheetView workbookViewId="0">
      <pane xSplit="2" ySplit="4" topLeftCell="C12" activePane="bottomRight" state="frozen"/>
      <selection pane="topRight" activeCell="C1" sqref="C1"/>
      <selection pane="bottomLeft" activeCell="A5" sqref="A5"/>
      <selection pane="bottomRight" activeCell="D15" sqref="D15"/>
    </sheetView>
  </sheetViews>
  <sheetFormatPr defaultColWidth="9.109375" defaultRowHeight="13.2"/>
  <cols>
    <col min="1" max="1" width="5" style="248" customWidth="1"/>
    <col min="2" max="2" width="43.88671875" style="248" customWidth="1"/>
    <col min="3" max="3" width="10.88671875" style="248" customWidth="1"/>
    <col min="4" max="4" width="10.88671875" style="236" customWidth="1"/>
    <col min="5" max="5" width="13" style="245" customWidth="1"/>
    <col min="6" max="6" width="14.6640625" style="245" customWidth="1"/>
    <col min="7" max="7" width="57" style="347" customWidth="1"/>
    <col min="8" max="8" width="14.5546875" style="248" customWidth="1"/>
    <col min="9" max="9" width="28.33203125" style="248" hidden="1" customWidth="1"/>
    <col min="10" max="16384" width="9.109375" style="248"/>
  </cols>
  <sheetData>
    <row r="1" spans="1:9" ht="15.75" customHeight="1">
      <c r="A1" s="330"/>
      <c r="B1" s="606" t="s">
        <v>638</v>
      </c>
      <c r="C1" s="606"/>
      <c r="D1" s="606"/>
      <c r="E1" s="606"/>
      <c r="F1" s="606"/>
      <c r="G1" s="606"/>
      <c r="H1" s="606"/>
      <c r="I1" s="606"/>
    </row>
    <row r="2" spans="1:9" ht="15.75" customHeight="1">
      <c r="A2" s="606" t="s">
        <v>754</v>
      </c>
      <c r="B2" s="606"/>
      <c r="C2" s="606"/>
      <c r="D2" s="606"/>
      <c r="E2" s="606"/>
      <c r="F2" s="606"/>
      <c r="G2" s="606"/>
      <c r="H2" s="606"/>
      <c r="I2" s="606"/>
    </row>
    <row r="3" spans="1:9" ht="15.75" customHeight="1">
      <c r="A3" s="384"/>
      <c r="B3" s="384"/>
      <c r="C3" s="384"/>
      <c r="D3" s="384"/>
      <c r="E3" s="384"/>
      <c r="F3" s="384"/>
      <c r="G3" s="612" t="s">
        <v>881</v>
      </c>
      <c r="H3" s="612"/>
      <c r="I3" s="384"/>
    </row>
    <row r="4" spans="1:9" ht="30" customHeight="1">
      <c r="A4" s="331"/>
      <c r="B4" s="238" t="s">
        <v>84</v>
      </c>
      <c r="C4" s="238" t="s">
        <v>639</v>
      </c>
      <c r="D4" s="238" t="s">
        <v>640</v>
      </c>
      <c r="E4" s="238" t="s">
        <v>641</v>
      </c>
      <c r="F4" s="238" t="s">
        <v>642</v>
      </c>
      <c r="G4" s="238" t="s">
        <v>636</v>
      </c>
      <c r="H4" s="238" t="s">
        <v>643</v>
      </c>
      <c r="I4" s="238" t="s">
        <v>652</v>
      </c>
    </row>
    <row r="5" spans="1:9" ht="26.25" customHeight="1">
      <c r="A5" s="216" t="s">
        <v>645</v>
      </c>
      <c r="B5" s="332" t="s">
        <v>220</v>
      </c>
      <c r="C5" s="243">
        <v>440139</v>
      </c>
      <c r="D5" s="243">
        <f>12563+11692.116+9353.693</f>
        <v>33608.809000000001</v>
      </c>
      <c r="E5" s="243">
        <f>D5-C5</f>
        <v>-406530.19099999999</v>
      </c>
      <c r="F5" s="333">
        <f>D5/C5*100</f>
        <v>7.635953414716715</v>
      </c>
      <c r="G5" s="259"/>
      <c r="H5" s="253"/>
      <c r="I5" s="365" t="s">
        <v>653</v>
      </c>
    </row>
    <row r="6" spans="1:9" ht="46.5" customHeight="1">
      <c r="A6" s="216" t="s">
        <v>729</v>
      </c>
      <c r="B6" s="386" t="s">
        <v>738</v>
      </c>
      <c r="C6" s="381">
        <v>51064</v>
      </c>
      <c r="D6" s="385">
        <v>2779</v>
      </c>
      <c r="E6" s="383">
        <f t="shared" ref="E6:E12" si="0">D6-C6</f>
        <v>-48285</v>
      </c>
      <c r="F6" s="242">
        <f t="shared" ref="F6:F12" si="1">D6/C6*100</f>
        <v>5.442190192699357</v>
      </c>
      <c r="G6" s="259" t="s">
        <v>755</v>
      </c>
      <c r="H6" s="611" t="s">
        <v>627</v>
      </c>
      <c r="I6" s="382"/>
    </row>
    <row r="7" spans="1:9" ht="66" customHeight="1">
      <c r="A7" s="216" t="s">
        <v>730</v>
      </c>
      <c r="B7" s="386" t="s">
        <v>739</v>
      </c>
      <c r="C7" s="381">
        <v>35404</v>
      </c>
      <c r="D7" s="383"/>
      <c r="E7" s="383">
        <f t="shared" si="0"/>
        <v>-35404</v>
      </c>
      <c r="F7" s="242">
        <f t="shared" si="1"/>
        <v>0</v>
      </c>
      <c r="G7" s="259" t="s">
        <v>749</v>
      </c>
      <c r="H7" s="611"/>
      <c r="I7" s="382"/>
    </row>
    <row r="8" spans="1:9" ht="42" customHeight="1">
      <c r="A8" s="216" t="s">
        <v>731</v>
      </c>
      <c r="B8" s="386" t="s">
        <v>740</v>
      </c>
      <c r="C8" s="381">
        <v>31776</v>
      </c>
      <c r="D8" s="383">
        <v>1574</v>
      </c>
      <c r="E8" s="383">
        <f t="shared" si="0"/>
        <v>-30202</v>
      </c>
      <c r="F8" s="242">
        <f t="shared" si="1"/>
        <v>4.9534239677744205</v>
      </c>
      <c r="G8" s="259" t="s">
        <v>755</v>
      </c>
      <c r="H8" s="611"/>
      <c r="I8" s="382"/>
    </row>
    <row r="9" spans="1:9" ht="39.75" customHeight="1">
      <c r="A9" s="216" t="s">
        <v>732</v>
      </c>
      <c r="B9" s="386" t="s">
        <v>741</v>
      </c>
      <c r="C9" s="381">
        <v>58441</v>
      </c>
      <c r="D9" s="383">
        <v>1421</v>
      </c>
      <c r="E9" s="383">
        <f t="shared" si="0"/>
        <v>-57020</v>
      </c>
      <c r="F9" s="242">
        <f t="shared" si="1"/>
        <v>2.4315121233380674</v>
      </c>
      <c r="G9" s="259" t="s">
        <v>755</v>
      </c>
      <c r="H9" s="611"/>
      <c r="I9" s="382"/>
    </row>
    <row r="10" spans="1:9" ht="43.5" customHeight="1">
      <c r="A10" s="216" t="s">
        <v>733</v>
      </c>
      <c r="B10" s="386" t="s">
        <v>742</v>
      </c>
      <c r="C10" s="381">
        <v>60207</v>
      </c>
      <c r="D10" s="383">
        <v>77178</v>
      </c>
      <c r="E10" s="383">
        <f t="shared" si="0"/>
        <v>16971</v>
      </c>
      <c r="F10" s="242">
        <f t="shared" si="1"/>
        <v>128.1877522547212</v>
      </c>
      <c r="G10" s="259" t="s">
        <v>748</v>
      </c>
      <c r="H10" s="611"/>
      <c r="I10" s="382"/>
    </row>
    <row r="11" spans="1:9" ht="39.75" customHeight="1">
      <c r="A11" s="216" t="s">
        <v>734</v>
      </c>
      <c r="B11" s="387" t="s">
        <v>743</v>
      </c>
      <c r="C11" s="381">
        <v>84280</v>
      </c>
      <c r="D11" s="383">
        <v>3302</v>
      </c>
      <c r="E11" s="383">
        <f t="shared" si="0"/>
        <v>-80978</v>
      </c>
      <c r="F11" s="242">
        <f t="shared" si="1"/>
        <v>3.9178927384907447</v>
      </c>
      <c r="G11" s="259" t="s">
        <v>755</v>
      </c>
      <c r="H11" s="611"/>
      <c r="I11" s="382"/>
    </row>
    <row r="12" spans="1:9" ht="79.5" customHeight="1">
      <c r="A12" s="216" t="s">
        <v>735</v>
      </c>
      <c r="B12" s="386" t="s">
        <v>744</v>
      </c>
      <c r="C12" s="109">
        <v>118967</v>
      </c>
      <c r="D12" s="383">
        <f>12563+2616</f>
        <v>15179</v>
      </c>
      <c r="E12" s="383">
        <f t="shared" si="0"/>
        <v>-103788</v>
      </c>
      <c r="F12" s="242">
        <f t="shared" si="1"/>
        <v>12.75900039506754</v>
      </c>
      <c r="G12" s="259" t="s">
        <v>756</v>
      </c>
      <c r="H12" s="611"/>
      <c r="I12" s="382"/>
    </row>
    <row r="13" spans="1:9" ht="54" customHeight="1">
      <c r="A13" s="216" t="s">
        <v>736</v>
      </c>
      <c r="B13" s="389" t="s">
        <v>745</v>
      </c>
      <c r="C13" s="383" t="s">
        <v>560</v>
      </c>
      <c r="D13" s="383"/>
      <c r="E13" s="243"/>
      <c r="F13" s="333"/>
      <c r="G13" s="319" t="s">
        <v>787</v>
      </c>
      <c r="H13" s="383" t="s">
        <v>629</v>
      </c>
      <c r="I13" s="382"/>
    </row>
    <row r="14" spans="1:9" ht="39.75" customHeight="1">
      <c r="A14" s="216" t="s">
        <v>737</v>
      </c>
      <c r="B14" s="389" t="s">
        <v>746</v>
      </c>
      <c r="C14" s="383" t="s">
        <v>560</v>
      </c>
      <c r="D14" s="383"/>
      <c r="E14" s="243"/>
      <c r="F14" s="333"/>
      <c r="G14" s="319" t="s">
        <v>747</v>
      </c>
      <c r="H14" s="383" t="s">
        <v>627</v>
      </c>
      <c r="I14" s="382"/>
    </row>
    <row r="15" spans="1:9" s="320" customFormat="1" ht="121.95" customHeight="1">
      <c r="A15" s="216" t="s">
        <v>646</v>
      </c>
      <c r="B15" s="332" t="s">
        <v>402</v>
      </c>
      <c r="C15" s="243">
        <v>448528</v>
      </c>
      <c r="D15" s="243">
        <f>7683+12309.4+29772.7</f>
        <v>49765.100000000006</v>
      </c>
      <c r="E15" s="243">
        <f>D15-C15</f>
        <v>-398762.9</v>
      </c>
      <c r="F15" s="333">
        <f>D15/C15*100</f>
        <v>11.095204758677275</v>
      </c>
      <c r="G15" s="214" t="s">
        <v>751</v>
      </c>
      <c r="H15" s="383" t="s">
        <v>627</v>
      </c>
      <c r="I15" s="365" t="s">
        <v>653</v>
      </c>
    </row>
    <row r="16" spans="1:9" s="320" customFormat="1" ht="27" customHeight="1">
      <c r="A16" s="328" t="s">
        <v>648</v>
      </c>
      <c r="B16" s="288" t="s">
        <v>119</v>
      </c>
      <c r="C16" s="325">
        <f>C17+C18+C19+C20+C21</f>
        <v>22760</v>
      </c>
      <c r="D16" s="325">
        <f>SUM(D17:D27)</f>
        <v>632.99800000000005</v>
      </c>
      <c r="E16" s="325">
        <f t="shared" ref="E16:E21" si="2">D16-C16</f>
        <v>-22127.002</v>
      </c>
      <c r="F16" s="325">
        <f t="shared" ref="F16:F21" si="3">D16/C16*100</f>
        <v>2.7811862917398948</v>
      </c>
      <c r="G16" s="214"/>
      <c r="H16" s="365"/>
      <c r="I16" s="334"/>
    </row>
    <row r="17" spans="1:9" s="320" customFormat="1" ht="44.25" customHeight="1">
      <c r="A17" s="328" t="s">
        <v>155</v>
      </c>
      <c r="B17" s="259" t="s">
        <v>286</v>
      </c>
      <c r="C17" s="368">
        <v>3856</v>
      </c>
      <c r="D17" s="365">
        <v>0</v>
      </c>
      <c r="E17" s="366">
        <f t="shared" si="2"/>
        <v>-3856</v>
      </c>
      <c r="F17" s="324">
        <f t="shared" si="3"/>
        <v>0</v>
      </c>
      <c r="G17" s="319" t="s">
        <v>762</v>
      </c>
      <c r="H17" s="607" t="s">
        <v>628</v>
      </c>
      <c r="I17" s="608" t="s">
        <v>654</v>
      </c>
    </row>
    <row r="18" spans="1:9" s="320" customFormat="1" ht="95.4" customHeight="1">
      <c r="A18" s="328" t="s">
        <v>156</v>
      </c>
      <c r="B18" s="259" t="s">
        <v>288</v>
      </c>
      <c r="C18" s="368">
        <v>1069</v>
      </c>
      <c r="D18" s="271"/>
      <c r="E18" s="366">
        <f t="shared" si="2"/>
        <v>-1069</v>
      </c>
      <c r="F18" s="324">
        <f t="shared" si="3"/>
        <v>0</v>
      </c>
      <c r="G18" s="319" t="s">
        <v>781</v>
      </c>
      <c r="H18" s="607"/>
      <c r="I18" s="609"/>
    </row>
    <row r="19" spans="1:9" s="320" customFormat="1" ht="78" customHeight="1">
      <c r="A19" s="328" t="s">
        <v>157</v>
      </c>
      <c r="B19" s="259" t="s">
        <v>661</v>
      </c>
      <c r="C19" s="368">
        <v>14547</v>
      </c>
      <c r="D19" s="371"/>
      <c r="E19" s="324">
        <f t="shared" si="2"/>
        <v>-14547</v>
      </c>
      <c r="F19" s="324">
        <f t="shared" si="3"/>
        <v>0</v>
      </c>
      <c r="G19" s="319" t="s">
        <v>752</v>
      </c>
      <c r="H19" s="203" t="s">
        <v>630</v>
      </c>
      <c r="I19" s="609"/>
    </row>
    <row r="20" spans="1:9" s="335" customFormat="1" ht="57" customHeight="1">
      <c r="A20" s="328" t="s">
        <v>158</v>
      </c>
      <c r="B20" s="259" t="s">
        <v>616</v>
      </c>
      <c r="C20" s="368">
        <v>2540</v>
      </c>
      <c r="D20" s="362"/>
      <c r="E20" s="324">
        <f t="shared" si="2"/>
        <v>-2540</v>
      </c>
      <c r="F20" s="324">
        <f t="shared" si="3"/>
        <v>0</v>
      </c>
      <c r="G20" s="319" t="s">
        <v>786</v>
      </c>
      <c r="H20" s="366" t="s">
        <v>629</v>
      </c>
      <c r="I20" s="609"/>
    </row>
    <row r="21" spans="1:9" s="335" customFormat="1" ht="84" customHeight="1">
      <c r="A21" s="328" t="s">
        <v>159</v>
      </c>
      <c r="B21" s="259" t="s">
        <v>617</v>
      </c>
      <c r="C21" s="203">
        <f>(1496000/1000)/2</f>
        <v>748</v>
      </c>
      <c r="D21" s="366"/>
      <c r="E21" s="366">
        <f t="shared" si="2"/>
        <v>-748</v>
      </c>
      <c r="F21" s="324">
        <f t="shared" si="3"/>
        <v>0</v>
      </c>
      <c r="G21" s="319" t="s">
        <v>785</v>
      </c>
      <c r="H21" s="613" t="s">
        <v>630</v>
      </c>
      <c r="I21" s="609"/>
    </row>
    <row r="22" spans="1:9" s="335" customFormat="1" ht="17.399999999999999" customHeight="1">
      <c r="A22" s="419" t="s">
        <v>160</v>
      </c>
      <c r="B22" s="395" t="s">
        <v>664</v>
      </c>
      <c r="C22" s="406" t="s">
        <v>560</v>
      </c>
      <c r="D22" s="396">
        <v>454</v>
      </c>
      <c r="E22" s="392"/>
      <c r="F22" s="397"/>
      <c r="G22" s="319" t="s">
        <v>750</v>
      </c>
      <c r="H22" s="613"/>
      <c r="I22" s="609"/>
    </row>
    <row r="23" spans="1:9" s="335" customFormat="1" ht="17.399999999999999" customHeight="1">
      <c r="A23" s="419" t="s">
        <v>161</v>
      </c>
      <c r="B23" s="395" t="s">
        <v>725</v>
      </c>
      <c r="C23" s="406" t="s">
        <v>560</v>
      </c>
      <c r="D23" s="407">
        <v>178.99799999999999</v>
      </c>
      <c r="E23" s="392"/>
      <c r="F23" s="397"/>
      <c r="G23" s="319" t="s">
        <v>750</v>
      </c>
      <c r="H23" s="613"/>
      <c r="I23" s="609"/>
    </row>
    <row r="24" spans="1:9" s="335" customFormat="1" ht="44.25" customHeight="1">
      <c r="A24" s="419" t="s">
        <v>162</v>
      </c>
      <c r="B24" s="395" t="s">
        <v>665</v>
      </c>
      <c r="C24" s="406" t="s">
        <v>560</v>
      </c>
      <c r="D24" s="407"/>
      <c r="E24" s="392"/>
      <c r="F24" s="397"/>
      <c r="G24" s="319" t="s">
        <v>768</v>
      </c>
      <c r="H24" s="613"/>
      <c r="I24" s="609"/>
    </row>
    <row r="25" spans="1:9" s="335" customFormat="1" ht="43.5" customHeight="1">
      <c r="A25" s="419" t="s">
        <v>163</v>
      </c>
      <c r="B25" s="395" t="s">
        <v>726</v>
      </c>
      <c r="C25" s="406" t="s">
        <v>560</v>
      </c>
      <c r="D25" s="392"/>
      <c r="E25" s="392"/>
      <c r="F25" s="392"/>
      <c r="G25" s="319" t="s">
        <v>791</v>
      </c>
      <c r="H25" s="613"/>
      <c r="I25" s="609"/>
    </row>
    <row r="26" spans="1:9" s="335" customFormat="1" ht="58.95" customHeight="1">
      <c r="A26" s="419" t="s">
        <v>164</v>
      </c>
      <c r="B26" s="395" t="s">
        <v>767</v>
      </c>
      <c r="C26" s="406" t="s">
        <v>560</v>
      </c>
      <c r="D26" s="392"/>
      <c r="E26" s="392"/>
      <c r="F26" s="392"/>
      <c r="G26" s="319" t="s">
        <v>792</v>
      </c>
      <c r="H26" s="613"/>
      <c r="I26" s="610"/>
    </row>
    <row r="27" spans="1:9" s="335" customFormat="1" ht="43.95" customHeight="1">
      <c r="A27" s="419" t="s">
        <v>165</v>
      </c>
      <c r="B27" s="395" t="s">
        <v>728</v>
      </c>
      <c r="C27" s="406" t="s">
        <v>560</v>
      </c>
      <c r="D27" s="392"/>
      <c r="E27" s="392"/>
      <c r="F27" s="392"/>
      <c r="G27" s="319" t="s">
        <v>764</v>
      </c>
      <c r="H27" s="203" t="s">
        <v>629</v>
      </c>
      <c r="I27" s="379"/>
    </row>
    <row r="28" spans="1:9" s="335" customFormat="1" ht="24.6" customHeight="1">
      <c r="A28" s="419" t="s">
        <v>166</v>
      </c>
      <c r="B28" s="395" t="s">
        <v>708</v>
      </c>
      <c r="C28" s="406" t="s">
        <v>560</v>
      </c>
      <c r="D28" s="392"/>
      <c r="E28" s="392"/>
      <c r="F28" s="392"/>
      <c r="G28" s="319" t="s">
        <v>799</v>
      </c>
      <c r="H28" s="423"/>
      <c r="I28" s="425"/>
    </row>
    <row r="29" spans="1:9" s="320" customFormat="1">
      <c r="A29" s="328" t="s">
        <v>649</v>
      </c>
      <c r="B29" s="288" t="s">
        <v>125</v>
      </c>
      <c r="C29" s="321">
        <f>C30+C31+C32+C33+C34+C35+C36+C37</f>
        <v>9443.1</v>
      </c>
      <c r="D29" s="321">
        <f>D30+D31+D32+D33+D34+D35+D36+D37</f>
        <v>7279</v>
      </c>
      <c r="E29" s="321">
        <f>E30+E31+E32+E33+E34+E35+E36+E37</f>
        <v>-2164.1</v>
      </c>
      <c r="F29" s="325">
        <f>D29/C29*100</f>
        <v>77.082737660302229</v>
      </c>
      <c r="G29" s="319"/>
      <c r="H29" s="368"/>
      <c r="I29" s="334"/>
    </row>
    <row r="30" spans="1:9" s="320" customFormat="1" ht="51.75" customHeight="1">
      <c r="A30" s="216" t="s">
        <v>195</v>
      </c>
      <c r="B30" s="259" t="s">
        <v>610</v>
      </c>
      <c r="C30" s="203">
        <v>1140</v>
      </c>
      <c r="D30" s="203">
        <v>1113</v>
      </c>
      <c r="E30" s="366">
        <f>D30-C30</f>
        <v>-27</v>
      </c>
      <c r="F30" s="324">
        <f>D30/C30*100</f>
        <v>97.631578947368425</v>
      </c>
      <c r="G30" s="319" t="s">
        <v>750</v>
      </c>
      <c r="H30" s="603" t="s">
        <v>769</v>
      </c>
      <c r="I30" s="600" t="s">
        <v>653</v>
      </c>
    </row>
    <row r="31" spans="1:9" ht="16.95" customHeight="1">
      <c r="A31" s="216" t="s">
        <v>196</v>
      </c>
      <c r="B31" s="259" t="s">
        <v>624</v>
      </c>
      <c r="C31" s="244">
        <v>180</v>
      </c>
      <c r="D31" s="365">
        <v>174</v>
      </c>
      <c r="E31" s="377">
        <f>D31-C31</f>
        <v>-6</v>
      </c>
      <c r="F31" s="324">
        <f t="shared" ref="F31:F58" si="4">D31/C31*100</f>
        <v>96.666666666666671</v>
      </c>
      <c r="G31" s="319" t="s">
        <v>750</v>
      </c>
      <c r="H31" s="604"/>
      <c r="I31" s="600"/>
    </row>
    <row r="32" spans="1:9" ht="25.95" customHeight="1">
      <c r="A32" s="216" t="s">
        <v>197</v>
      </c>
      <c r="B32" s="259" t="s">
        <v>625</v>
      </c>
      <c r="C32" s="244">
        <v>60</v>
      </c>
      <c r="D32" s="365">
        <v>57</v>
      </c>
      <c r="E32" s="377">
        <f>D32-C32</f>
        <v>-3</v>
      </c>
      <c r="F32" s="324">
        <f t="shared" si="4"/>
        <v>95</v>
      </c>
      <c r="G32" s="319" t="s">
        <v>750</v>
      </c>
      <c r="H32" s="604"/>
      <c r="I32" s="600"/>
    </row>
    <row r="33" spans="1:9" s="335" customFormat="1" ht="25.2" customHeight="1">
      <c r="A33" s="216" t="s">
        <v>198</v>
      </c>
      <c r="B33" s="259" t="s">
        <v>619</v>
      </c>
      <c r="C33" s="244">
        <v>46</v>
      </c>
      <c r="D33" s="365">
        <v>46</v>
      </c>
      <c r="E33" s="377">
        <f t="shared" ref="E33:E36" si="5">D33-C33</f>
        <v>0</v>
      </c>
      <c r="F33" s="324">
        <f t="shared" si="4"/>
        <v>100</v>
      </c>
      <c r="G33" s="319" t="s">
        <v>750</v>
      </c>
      <c r="H33" s="604"/>
      <c r="I33" s="600"/>
    </row>
    <row r="34" spans="1:9" s="335" customFormat="1" ht="117" customHeight="1">
      <c r="A34" s="216" t="s">
        <v>199</v>
      </c>
      <c r="B34" s="259" t="s">
        <v>644</v>
      </c>
      <c r="C34" s="203">
        <v>6924</v>
      </c>
      <c r="D34" s="203">
        <f>3799+1000</f>
        <v>4799</v>
      </c>
      <c r="E34" s="377">
        <f t="shared" si="5"/>
        <v>-2125</v>
      </c>
      <c r="F34" s="324">
        <f t="shared" si="4"/>
        <v>69.309647602541872</v>
      </c>
      <c r="G34" s="356" t="s">
        <v>766</v>
      </c>
      <c r="H34" s="604"/>
      <c r="I34" s="600" t="s">
        <v>653</v>
      </c>
    </row>
    <row r="35" spans="1:9" s="335" customFormat="1" ht="26.4">
      <c r="A35" s="216" t="s">
        <v>246</v>
      </c>
      <c r="B35" s="259" t="s">
        <v>626</v>
      </c>
      <c r="C35" s="203">
        <f>1*599</f>
        <v>599</v>
      </c>
      <c r="D35" s="365">
        <v>599</v>
      </c>
      <c r="E35" s="377">
        <f t="shared" si="5"/>
        <v>0</v>
      </c>
      <c r="F35" s="324">
        <f t="shared" si="4"/>
        <v>100</v>
      </c>
      <c r="G35" s="319" t="s">
        <v>750</v>
      </c>
      <c r="H35" s="604"/>
      <c r="I35" s="600"/>
    </row>
    <row r="36" spans="1:9" s="335" customFormat="1" ht="29.25" customHeight="1">
      <c r="A36" s="216" t="s">
        <v>247</v>
      </c>
      <c r="B36" s="259" t="s">
        <v>609</v>
      </c>
      <c r="C36" s="203">
        <f>2*221.5</f>
        <v>443</v>
      </c>
      <c r="D36" s="365">
        <v>440</v>
      </c>
      <c r="E36" s="377">
        <f t="shared" si="5"/>
        <v>-3</v>
      </c>
      <c r="F36" s="324">
        <f t="shared" si="4"/>
        <v>99.322799097065456</v>
      </c>
      <c r="G36" s="319" t="s">
        <v>750</v>
      </c>
      <c r="H36" s="604"/>
      <c r="I36" s="600"/>
    </row>
    <row r="37" spans="1:9" s="335" customFormat="1" ht="27" customHeight="1">
      <c r="A37" s="216" t="s">
        <v>248</v>
      </c>
      <c r="B37" s="259" t="s">
        <v>620</v>
      </c>
      <c r="C37" s="203">
        <f>1*51.1</f>
        <v>51.1</v>
      </c>
      <c r="D37" s="365">
        <v>51</v>
      </c>
      <c r="E37" s="377">
        <f>D37-C37</f>
        <v>-0.10000000000000142</v>
      </c>
      <c r="F37" s="324">
        <f t="shared" si="4"/>
        <v>99.80430528375733</v>
      </c>
      <c r="G37" s="319" t="s">
        <v>750</v>
      </c>
      <c r="H37" s="604"/>
      <c r="I37" s="600"/>
    </row>
    <row r="38" spans="1:9" s="335" customFormat="1" ht="27" customHeight="1">
      <c r="A38" s="216" t="s">
        <v>770</v>
      </c>
      <c r="B38" s="391" t="s">
        <v>795</v>
      </c>
      <c r="C38" s="392" t="s">
        <v>560</v>
      </c>
      <c r="D38" s="424">
        <v>502</v>
      </c>
      <c r="E38" s="424">
        <f>D38</f>
        <v>502</v>
      </c>
      <c r="F38" s="324"/>
      <c r="G38" s="393" t="s">
        <v>798</v>
      </c>
      <c r="H38" s="604"/>
      <c r="I38" s="420"/>
    </row>
    <row r="39" spans="1:9" s="335" customFormat="1" ht="27" customHeight="1">
      <c r="A39" s="216" t="s">
        <v>771</v>
      </c>
      <c r="B39" s="391" t="s">
        <v>794</v>
      </c>
      <c r="C39" s="392" t="s">
        <v>560</v>
      </c>
      <c r="D39" s="424">
        <v>149</v>
      </c>
      <c r="E39" s="424">
        <f t="shared" ref="E39:E41" si="6">D39</f>
        <v>149</v>
      </c>
      <c r="F39" s="324"/>
      <c r="G39" s="393" t="s">
        <v>798</v>
      </c>
      <c r="H39" s="604"/>
      <c r="I39" s="420"/>
    </row>
    <row r="40" spans="1:9" s="335" customFormat="1" ht="27" customHeight="1">
      <c r="A40" s="216" t="s">
        <v>772</v>
      </c>
      <c r="B40" s="391" t="s">
        <v>796</v>
      </c>
      <c r="C40" s="392" t="s">
        <v>560</v>
      </c>
      <c r="D40" s="424">
        <v>223</v>
      </c>
      <c r="E40" s="424">
        <f t="shared" si="6"/>
        <v>223</v>
      </c>
      <c r="F40" s="324"/>
      <c r="G40" s="393" t="s">
        <v>798</v>
      </c>
      <c r="H40" s="604"/>
      <c r="I40" s="420"/>
    </row>
    <row r="41" spans="1:9" s="335" customFormat="1" ht="27" customHeight="1">
      <c r="A41" s="216" t="s">
        <v>773</v>
      </c>
      <c r="B41" s="391" t="s">
        <v>797</v>
      </c>
      <c r="C41" s="392" t="s">
        <v>560</v>
      </c>
      <c r="D41" s="424">
        <v>233</v>
      </c>
      <c r="E41" s="424">
        <f t="shared" si="6"/>
        <v>233</v>
      </c>
      <c r="F41" s="324"/>
      <c r="G41" s="393" t="s">
        <v>798</v>
      </c>
      <c r="H41" s="605"/>
      <c r="I41" s="420"/>
    </row>
    <row r="42" spans="1:9" ht="19.2" customHeight="1">
      <c r="A42" s="216" t="s">
        <v>650</v>
      </c>
      <c r="B42" s="336" t="s">
        <v>251</v>
      </c>
      <c r="C42" s="243">
        <f>SUM(C43:C45)</f>
        <v>170412</v>
      </c>
      <c r="D42" s="421">
        <f>SUM(D43:D47)</f>
        <v>161370.19500000004</v>
      </c>
      <c r="E42" s="243">
        <f>D42-C42</f>
        <v>-9041.8049999999639</v>
      </c>
      <c r="F42" s="325">
        <f t="shared" si="4"/>
        <v>94.694150059854962</v>
      </c>
      <c r="G42" s="272"/>
      <c r="H42" s="366"/>
      <c r="I42" s="253"/>
    </row>
    <row r="43" spans="1:9" ht="47.4" customHeight="1">
      <c r="A43" s="216" t="s">
        <v>11</v>
      </c>
      <c r="B43" s="214" t="s">
        <v>621</v>
      </c>
      <c r="C43" s="366">
        <v>313</v>
      </c>
      <c r="D43" s="365">
        <v>312</v>
      </c>
      <c r="E43" s="377">
        <f>D43-C43</f>
        <v>-1</v>
      </c>
      <c r="F43" s="324">
        <f t="shared" si="4"/>
        <v>99.680511182108617</v>
      </c>
      <c r="G43" s="319" t="s">
        <v>788</v>
      </c>
      <c r="H43" s="603" t="s">
        <v>632</v>
      </c>
      <c r="I43" s="378" t="s">
        <v>653</v>
      </c>
    </row>
    <row r="44" spans="1:9" ht="43.2" customHeight="1">
      <c r="A44" s="216" t="s">
        <v>12</v>
      </c>
      <c r="B44" s="214" t="s">
        <v>622</v>
      </c>
      <c r="C44" s="377">
        <v>685</v>
      </c>
      <c r="D44" s="377">
        <v>0</v>
      </c>
      <c r="E44" s="377">
        <f t="shared" ref="E44:E45" si="7">D44-C44</f>
        <v>-685</v>
      </c>
      <c r="F44" s="377">
        <v>0</v>
      </c>
      <c r="G44" s="214" t="s">
        <v>727</v>
      </c>
      <c r="H44" s="605"/>
      <c r="I44" s="379"/>
    </row>
    <row r="45" spans="1:9" ht="70.2" customHeight="1">
      <c r="A45" s="353" t="s">
        <v>27</v>
      </c>
      <c r="B45" s="367" t="s">
        <v>623</v>
      </c>
      <c r="C45" s="364">
        <v>169414</v>
      </c>
      <c r="D45" s="364">
        <f>133490.2+2678.6+2678.5+2678.5+2678.5+5357.1+5357.1+3415.095+2678.6</f>
        <v>161012.19500000004</v>
      </c>
      <c r="E45" s="377">
        <f t="shared" si="7"/>
        <v>-8401.8049999999639</v>
      </c>
      <c r="F45" s="355">
        <f t="shared" si="4"/>
        <v>95.040666650926156</v>
      </c>
      <c r="G45" s="356" t="s">
        <v>681</v>
      </c>
      <c r="H45" s="364" t="s">
        <v>656</v>
      </c>
      <c r="I45" s="369" t="s">
        <v>653</v>
      </c>
    </row>
    <row r="46" spans="1:9" ht="28.95" customHeight="1">
      <c r="A46" s="353" t="s">
        <v>28</v>
      </c>
      <c r="B46" s="214" t="s">
        <v>765</v>
      </c>
      <c r="C46" s="377" t="s">
        <v>560</v>
      </c>
      <c r="D46" s="378">
        <f>2*23</f>
        <v>46</v>
      </c>
      <c r="E46" s="377">
        <v>46</v>
      </c>
      <c r="F46" s="377">
        <v>100</v>
      </c>
      <c r="G46" s="319" t="s">
        <v>750</v>
      </c>
      <c r="H46" s="380" t="s">
        <v>632</v>
      </c>
      <c r="I46" s="379"/>
    </row>
    <row r="47" spans="1:9" ht="43.95" customHeight="1">
      <c r="A47" s="353" t="s">
        <v>29</v>
      </c>
      <c r="B47" s="214" t="s">
        <v>757</v>
      </c>
      <c r="C47" s="400" t="s">
        <v>560</v>
      </c>
      <c r="D47" s="399"/>
      <c r="E47" s="400"/>
      <c r="F47" s="400"/>
      <c r="G47" s="214" t="s">
        <v>783</v>
      </c>
      <c r="H47" s="400" t="s">
        <v>632</v>
      </c>
      <c r="I47" s="401"/>
    </row>
    <row r="48" spans="1:9" ht="43.2" customHeight="1">
      <c r="A48" s="402" t="s">
        <v>776</v>
      </c>
      <c r="B48" s="391" t="s">
        <v>777</v>
      </c>
      <c r="C48" s="392" t="s">
        <v>560</v>
      </c>
      <c r="D48" s="422">
        <v>277</v>
      </c>
      <c r="E48" s="392">
        <f>D48</f>
        <v>277</v>
      </c>
      <c r="F48" s="392">
        <v>0</v>
      </c>
      <c r="G48" s="393" t="s">
        <v>784</v>
      </c>
      <c r="H48" s="413" t="s">
        <v>778</v>
      </c>
      <c r="I48" s="412"/>
    </row>
    <row r="49" spans="1:9" ht="29.25" customHeight="1">
      <c r="A49" s="338" t="s">
        <v>651</v>
      </c>
      <c r="B49" s="288" t="s">
        <v>128</v>
      </c>
      <c r="C49" s="243">
        <f>C50+C51+C52+C53+C54+C55</f>
        <v>46159.82142857142</v>
      </c>
      <c r="D49" s="243">
        <f>SUM(D50:D57)</f>
        <v>46066.392999999996</v>
      </c>
      <c r="E49" s="243">
        <f t="shared" ref="E49:E55" si="8">D49-C49</f>
        <v>-93.428428571423865</v>
      </c>
      <c r="F49" s="325">
        <f t="shared" si="4"/>
        <v>99.79759794193312</v>
      </c>
      <c r="G49" s="272"/>
      <c r="H49" s="366"/>
      <c r="I49" s="253"/>
    </row>
    <row r="50" spans="1:9" ht="16.95" customHeight="1">
      <c r="A50" s="338" t="s">
        <v>201</v>
      </c>
      <c r="B50" s="259" t="s">
        <v>611</v>
      </c>
      <c r="C50" s="203">
        <f>(12000000/1.12/1000)</f>
        <v>10714.285714285712</v>
      </c>
      <c r="D50" s="366">
        <v>10660.4</v>
      </c>
      <c r="E50" s="366">
        <f t="shared" si="8"/>
        <v>-53.885714285712311</v>
      </c>
      <c r="F50" s="324">
        <f t="shared" si="4"/>
        <v>99.497066666666683</v>
      </c>
      <c r="G50" s="319" t="s">
        <v>750</v>
      </c>
      <c r="H50" s="603" t="s">
        <v>634</v>
      </c>
      <c r="I50" s="600" t="s">
        <v>657</v>
      </c>
    </row>
    <row r="51" spans="1:9" ht="16.95" customHeight="1">
      <c r="A51" s="338" t="s">
        <v>202</v>
      </c>
      <c r="B51" s="259" t="s">
        <v>668</v>
      </c>
      <c r="C51" s="203">
        <f>(8251000/1.12/1000)*1</f>
        <v>7366.9642857142853</v>
      </c>
      <c r="D51" s="203">
        <v>6574.1</v>
      </c>
      <c r="E51" s="377">
        <f t="shared" si="8"/>
        <v>-792.86428571428496</v>
      </c>
      <c r="F51" s="324">
        <f t="shared" si="4"/>
        <v>89.237571203490489</v>
      </c>
      <c r="G51" s="319" t="s">
        <v>750</v>
      </c>
      <c r="H51" s="604"/>
      <c r="I51" s="600"/>
    </row>
    <row r="52" spans="1:9" ht="27" customHeight="1">
      <c r="A52" s="338" t="s">
        <v>203</v>
      </c>
      <c r="B52" s="259" t="s">
        <v>612</v>
      </c>
      <c r="C52" s="203">
        <f>(6286000/1.12/1000)*2</f>
        <v>11224.999999999998</v>
      </c>
      <c r="D52" s="203">
        <f>6800+3950.893</f>
        <v>10750.893</v>
      </c>
      <c r="E52" s="377">
        <f t="shared" si="8"/>
        <v>-474.10699999999815</v>
      </c>
      <c r="F52" s="324">
        <f t="shared" si="4"/>
        <v>95.776329621380867</v>
      </c>
      <c r="G52" s="319" t="s">
        <v>750</v>
      </c>
      <c r="H52" s="604"/>
      <c r="I52" s="600"/>
    </row>
    <row r="53" spans="1:9" ht="17.399999999999999" customHeight="1">
      <c r="A53" s="338" t="s">
        <v>204</v>
      </c>
      <c r="B53" s="259" t="s">
        <v>613</v>
      </c>
      <c r="C53" s="203">
        <f>(16200000/1.12/1000)*1</f>
        <v>14464.285714285712</v>
      </c>
      <c r="D53" s="411">
        <v>15692</v>
      </c>
      <c r="E53" s="377">
        <f t="shared" si="8"/>
        <v>1227.7142857142881</v>
      </c>
      <c r="F53" s="324">
        <f t="shared" si="4"/>
        <v>108.48790123456793</v>
      </c>
      <c r="G53" s="319" t="s">
        <v>750</v>
      </c>
      <c r="H53" s="604"/>
      <c r="I53" s="600"/>
    </row>
    <row r="54" spans="1:9" s="339" customFormat="1" ht="17.399999999999999" customHeight="1">
      <c r="A54" s="338" t="s">
        <v>205</v>
      </c>
      <c r="B54" s="259" t="s">
        <v>614</v>
      </c>
      <c r="C54" s="203">
        <f>(950000/1.12/1000)*2</f>
        <v>1696.4285714285713</v>
      </c>
      <c r="D54" s="203">
        <v>1696</v>
      </c>
      <c r="E54" s="377">
        <f t="shared" si="8"/>
        <v>-0.42857142857133113</v>
      </c>
      <c r="F54" s="324">
        <f t="shared" si="4"/>
        <v>99.974736842105273</v>
      </c>
      <c r="G54" s="319" t="s">
        <v>750</v>
      </c>
      <c r="H54" s="604"/>
      <c r="I54" s="600" t="s">
        <v>657</v>
      </c>
    </row>
    <row r="55" spans="1:9" s="339" customFormat="1" ht="17.399999999999999" customHeight="1">
      <c r="A55" s="338" t="s">
        <v>206</v>
      </c>
      <c r="B55" s="259" t="s">
        <v>615</v>
      </c>
      <c r="C55" s="203">
        <f>(776000/1.12/1000)*1</f>
        <v>692.85714285714289</v>
      </c>
      <c r="D55" s="365">
        <v>693</v>
      </c>
      <c r="E55" s="377">
        <f t="shared" si="8"/>
        <v>0.14285714285711038</v>
      </c>
      <c r="F55" s="324">
        <f t="shared" si="4"/>
        <v>100.02061855670104</v>
      </c>
      <c r="G55" s="319" t="s">
        <v>750</v>
      </c>
      <c r="H55" s="604"/>
      <c r="I55" s="600"/>
    </row>
    <row r="56" spans="1:9" s="339" customFormat="1" ht="30" customHeight="1">
      <c r="A56" s="338" t="s">
        <v>207</v>
      </c>
      <c r="B56" s="395" t="s">
        <v>763</v>
      </c>
      <c r="C56" s="263" t="s">
        <v>560</v>
      </c>
      <c r="D56" s="396"/>
      <c r="E56" s="392"/>
      <c r="F56" s="397"/>
      <c r="G56" s="319" t="s">
        <v>790</v>
      </c>
      <c r="H56" s="605"/>
      <c r="I56" s="398"/>
    </row>
    <row r="57" spans="1:9" ht="49.95" customHeight="1">
      <c r="A57" s="402" t="s">
        <v>774</v>
      </c>
      <c r="B57" s="395" t="s">
        <v>782</v>
      </c>
      <c r="C57" s="263" t="s">
        <v>560</v>
      </c>
      <c r="D57" s="396"/>
      <c r="E57" s="392"/>
      <c r="F57" s="397"/>
      <c r="G57" s="426" t="s">
        <v>793</v>
      </c>
      <c r="H57" s="417"/>
      <c r="I57" s="418"/>
    </row>
    <row r="58" spans="1:9" ht="16.95" customHeight="1">
      <c r="A58" s="338"/>
      <c r="B58" s="288" t="s">
        <v>134</v>
      </c>
      <c r="C58" s="243">
        <f>SUM(C60:C68)</f>
        <v>887</v>
      </c>
      <c r="D58" s="243">
        <f>SUM(D60:D72)</f>
        <v>924</v>
      </c>
      <c r="E58" s="243">
        <f>D58-C58</f>
        <v>37</v>
      </c>
      <c r="F58" s="325">
        <f t="shared" si="4"/>
        <v>104.17136414881622</v>
      </c>
      <c r="G58" s="319"/>
      <c r="H58" s="388"/>
      <c r="I58" s="365" t="s">
        <v>658</v>
      </c>
    </row>
    <row r="59" spans="1:9" s="339" customFormat="1" ht="17.399999999999999" hidden="1" customHeight="1">
      <c r="A59" s="338" t="s">
        <v>647</v>
      </c>
      <c r="B59" s="214" t="s">
        <v>635</v>
      </c>
      <c r="C59" s="366">
        <v>483</v>
      </c>
      <c r="D59" s="244"/>
      <c r="E59" s="244"/>
      <c r="F59" s="244"/>
      <c r="G59" s="319" t="s">
        <v>750</v>
      </c>
      <c r="H59" s="388" t="s">
        <v>634</v>
      </c>
      <c r="I59" s="340"/>
    </row>
    <row r="60" spans="1:9" s="339" customFormat="1" ht="18" customHeight="1">
      <c r="A60" s="338" t="s">
        <v>647</v>
      </c>
      <c r="B60" s="214" t="s">
        <v>688</v>
      </c>
      <c r="C60" s="244">
        <v>133</v>
      </c>
      <c r="D60" s="244">
        <v>121</v>
      </c>
      <c r="E60" s="409">
        <f t="shared" ref="E60:E68" si="9">D60-C60</f>
        <v>-12</v>
      </c>
      <c r="F60" s="324">
        <f t="shared" ref="F60:F68" si="10">D60/C60*100</f>
        <v>90.977443609022558</v>
      </c>
      <c r="G60" s="319" t="s">
        <v>750</v>
      </c>
      <c r="H60" s="603" t="s">
        <v>669</v>
      </c>
      <c r="I60" s="601"/>
    </row>
    <row r="61" spans="1:9" s="339" customFormat="1" ht="18" customHeight="1">
      <c r="A61" s="338" t="s">
        <v>690</v>
      </c>
      <c r="B61" s="262" t="s">
        <v>700</v>
      </c>
      <c r="C61" s="244">
        <v>172</v>
      </c>
      <c r="D61" s="244">
        <v>162</v>
      </c>
      <c r="E61" s="409">
        <f t="shared" si="9"/>
        <v>-10</v>
      </c>
      <c r="F61" s="324">
        <f t="shared" si="10"/>
        <v>94.186046511627907</v>
      </c>
      <c r="G61" s="319" t="s">
        <v>750</v>
      </c>
      <c r="H61" s="604"/>
      <c r="I61" s="601"/>
    </row>
    <row r="62" spans="1:9" s="339" customFormat="1" ht="18" customHeight="1">
      <c r="A62" s="338" t="s">
        <v>691</v>
      </c>
      <c r="B62" s="262" t="s">
        <v>670</v>
      </c>
      <c r="C62" s="244">
        <v>78</v>
      </c>
      <c r="D62" s="374">
        <v>35</v>
      </c>
      <c r="E62" s="409">
        <f t="shared" si="9"/>
        <v>-43</v>
      </c>
      <c r="F62" s="324">
        <f t="shared" si="10"/>
        <v>44.871794871794876</v>
      </c>
      <c r="G62" s="319" t="s">
        <v>750</v>
      </c>
      <c r="H62" s="604"/>
      <c r="I62" s="601"/>
    </row>
    <row r="63" spans="1:9" s="339" customFormat="1" ht="18" customHeight="1">
      <c r="A63" s="338" t="s">
        <v>692</v>
      </c>
      <c r="B63" s="262" t="s">
        <v>671</v>
      </c>
      <c r="C63" s="244">
        <v>37</v>
      </c>
      <c r="D63" s="244">
        <v>29</v>
      </c>
      <c r="E63" s="409">
        <f t="shared" si="9"/>
        <v>-8</v>
      </c>
      <c r="F63" s="324">
        <f t="shared" si="10"/>
        <v>78.378378378378372</v>
      </c>
      <c r="G63" s="319" t="s">
        <v>750</v>
      </c>
      <c r="H63" s="604"/>
      <c r="I63" s="601"/>
    </row>
    <row r="64" spans="1:9" s="339" customFormat="1" ht="18" customHeight="1">
      <c r="A64" s="338" t="s">
        <v>693</v>
      </c>
      <c r="B64" s="262" t="s">
        <v>672</v>
      </c>
      <c r="C64" s="244">
        <v>113</v>
      </c>
      <c r="D64" s="244">
        <v>64</v>
      </c>
      <c r="E64" s="409">
        <f t="shared" si="9"/>
        <v>-49</v>
      </c>
      <c r="F64" s="324">
        <f t="shared" si="10"/>
        <v>56.637168141592923</v>
      </c>
      <c r="G64" s="319" t="s">
        <v>750</v>
      </c>
      <c r="H64" s="604"/>
      <c r="I64" s="601"/>
    </row>
    <row r="65" spans="1:9" s="339" customFormat="1" ht="18" customHeight="1">
      <c r="A65" s="338" t="s">
        <v>694</v>
      </c>
      <c r="B65" s="262" t="s">
        <v>673</v>
      </c>
      <c r="C65" s="374">
        <v>58</v>
      </c>
      <c r="D65" s="374">
        <v>39</v>
      </c>
      <c r="E65" s="409">
        <f t="shared" si="9"/>
        <v>-19</v>
      </c>
      <c r="F65" s="324">
        <f t="shared" si="10"/>
        <v>67.241379310344826</v>
      </c>
      <c r="G65" s="319" t="s">
        <v>750</v>
      </c>
      <c r="H65" s="604"/>
      <c r="I65" s="602"/>
    </row>
    <row r="66" spans="1:9" s="339" customFormat="1" ht="19.2" customHeight="1">
      <c r="A66" s="338" t="s">
        <v>695</v>
      </c>
      <c r="B66" s="262" t="s">
        <v>674</v>
      </c>
      <c r="C66" s="244">
        <v>104</v>
      </c>
      <c r="D66" s="244">
        <v>100</v>
      </c>
      <c r="E66" s="409">
        <f t="shared" si="9"/>
        <v>-4</v>
      </c>
      <c r="F66" s="324">
        <f t="shared" si="10"/>
        <v>96.15384615384616</v>
      </c>
      <c r="G66" s="319" t="s">
        <v>750</v>
      </c>
      <c r="H66" s="604"/>
      <c r="I66" s="373"/>
    </row>
    <row r="67" spans="1:9" s="339" customFormat="1" ht="19.2" customHeight="1">
      <c r="A67" s="338" t="s">
        <v>696</v>
      </c>
      <c r="B67" s="262" t="s">
        <v>675</v>
      </c>
      <c r="C67" s="244">
        <v>110</v>
      </c>
      <c r="D67" s="374">
        <v>76</v>
      </c>
      <c r="E67" s="409">
        <f t="shared" si="9"/>
        <v>-34</v>
      </c>
      <c r="F67" s="324">
        <f t="shared" si="10"/>
        <v>69.090909090909093</v>
      </c>
      <c r="G67" s="319" t="s">
        <v>750</v>
      </c>
      <c r="H67" s="604"/>
      <c r="I67" s="373"/>
    </row>
    <row r="68" spans="1:9" s="339" customFormat="1" ht="18" customHeight="1">
      <c r="A68" s="338" t="s">
        <v>697</v>
      </c>
      <c r="B68" s="262" t="s">
        <v>682</v>
      </c>
      <c r="C68" s="374">
        <v>82</v>
      </c>
      <c r="D68" s="374">
        <v>77</v>
      </c>
      <c r="E68" s="409">
        <f t="shared" si="9"/>
        <v>-5</v>
      </c>
      <c r="F68" s="324">
        <f t="shared" si="10"/>
        <v>93.902439024390233</v>
      </c>
      <c r="G68" s="319" t="s">
        <v>750</v>
      </c>
      <c r="H68" s="604"/>
      <c r="I68" s="410"/>
    </row>
    <row r="69" spans="1:9" s="339" customFormat="1" ht="45.6" customHeight="1">
      <c r="A69" s="394" t="s">
        <v>722</v>
      </c>
      <c r="B69" s="414" t="s">
        <v>760</v>
      </c>
      <c r="C69" s="415" t="s">
        <v>560</v>
      </c>
      <c r="D69" s="405"/>
      <c r="E69" s="392"/>
      <c r="F69" s="397"/>
      <c r="G69" s="259" t="s">
        <v>780</v>
      </c>
      <c r="H69" s="604"/>
      <c r="I69" s="410"/>
    </row>
    <row r="70" spans="1:9" s="339" customFormat="1" ht="44.4" customHeight="1">
      <c r="A70" s="394" t="s">
        <v>723</v>
      </c>
      <c r="B70" s="414" t="s">
        <v>761</v>
      </c>
      <c r="C70" s="415" t="s">
        <v>560</v>
      </c>
      <c r="D70" s="405"/>
      <c r="E70" s="392"/>
      <c r="F70" s="397"/>
      <c r="G70" s="259" t="s">
        <v>779</v>
      </c>
      <c r="H70" s="604"/>
      <c r="I70" s="410"/>
    </row>
    <row r="71" spans="1:9" s="339" customFormat="1" ht="30" customHeight="1">
      <c r="A71" s="394" t="s">
        <v>724</v>
      </c>
      <c r="B71" s="416" t="s">
        <v>758</v>
      </c>
      <c r="C71" s="415" t="s">
        <v>560</v>
      </c>
      <c r="D71" s="405">
        <v>171</v>
      </c>
      <c r="E71" s="392">
        <f>D71</f>
        <v>171</v>
      </c>
      <c r="F71" s="397">
        <v>0</v>
      </c>
      <c r="G71" s="214" t="s">
        <v>789</v>
      </c>
      <c r="H71" s="604"/>
      <c r="I71" s="410"/>
    </row>
    <row r="72" spans="1:9" s="339" customFormat="1" ht="30" customHeight="1">
      <c r="A72" s="394" t="s">
        <v>759</v>
      </c>
      <c r="B72" s="414" t="s">
        <v>716</v>
      </c>
      <c r="C72" s="415" t="s">
        <v>560</v>
      </c>
      <c r="D72" s="405">
        <v>50</v>
      </c>
      <c r="E72" s="392">
        <f>D72</f>
        <v>50</v>
      </c>
      <c r="F72" s="397">
        <v>0</v>
      </c>
      <c r="G72" s="319" t="s">
        <v>750</v>
      </c>
      <c r="H72" s="605"/>
      <c r="I72" s="410"/>
    </row>
    <row r="73" spans="1:9" ht="18" customHeight="1">
      <c r="A73" s="338"/>
      <c r="B73" s="288" t="s">
        <v>95</v>
      </c>
      <c r="C73" s="243">
        <f>C5+C15+C16+C29+C42+C49+C58</f>
        <v>1138328.9214285715</v>
      </c>
      <c r="D73" s="326">
        <f>D5+D15+D16+D29+D42+D49+D58</f>
        <v>299646.49500000005</v>
      </c>
      <c r="E73" s="327">
        <f>D73-C73</f>
        <v>-838682.42642857134</v>
      </c>
      <c r="F73" s="327">
        <f>D73/C73*100</f>
        <v>26.323366591086167</v>
      </c>
      <c r="G73" s="329"/>
      <c r="H73" s="243"/>
      <c r="I73" s="253"/>
    </row>
    <row r="74" spans="1:9" ht="18" customHeight="1">
      <c r="A74" s="342"/>
      <c r="B74" s="278"/>
      <c r="C74" s="280"/>
      <c r="D74" s="403"/>
      <c r="E74" s="404"/>
      <c r="F74" s="404"/>
      <c r="G74" s="344"/>
      <c r="H74" s="280"/>
      <c r="I74" s="287"/>
    </row>
    <row r="75" spans="1:9" ht="15.75" customHeight="1">
      <c r="A75" s="342"/>
      <c r="B75" s="278"/>
      <c r="C75" s="280"/>
      <c r="D75" s="376"/>
      <c r="E75" s="343"/>
      <c r="F75" s="343"/>
      <c r="G75" s="344"/>
      <c r="H75" s="280"/>
    </row>
    <row r="76" spans="1:9" ht="13.8">
      <c r="B76" s="598" t="s">
        <v>753</v>
      </c>
      <c r="C76" s="598"/>
      <c r="D76" s="598"/>
      <c r="E76" s="598"/>
      <c r="F76" s="598"/>
      <c r="G76" s="598"/>
      <c r="H76" s="598"/>
    </row>
    <row r="79" spans="1:9" hidden="1"/>
    <row r="80" spans="1:9" ht="12.6" customHeight="1">
      <c r="B80" s="599" t="s">
        <v>637</v>
      </c>
      <c r="C80" s="599"/>
      <c r="D80" s="599"/>
      <c r="E80" s="599"/>
      <c r="F80" s="599"/>
      <c r="G80" s="599"/>
      <c r="H80" s="599"/>
    </row>
  </sheetData>
  <mergeCells count="19">
    <mergeCell ref="I34:I37"/>
    <mergeCell ref="I50:I53"/>
    <mergeCell ref="I30:I33"/>
    <mergeCell ref="H43:H44"/>
    <mergeCell ref="H50:H56"/>
    <mergeCell ref="H30:H41"/>
    <mergeCell ref="B1:I1"/>
    <mergeCell ref="A2:I2"/>
    <mergeCell ref="H17:H18"/>
    <mergeCell ref="I17:I19"/>
    <mergeCell ref="I20:I26"/>
    <mergeCell ref="H6:H12"/>
    <mergeCell ref="G3:H3"/>
    <mergeCell ref="H21:H26"/>
    <mergeCell ref="B76:H76"/>
    <mergeCell ref="B80:H80"/>
    <mergeCell ref="I54:I55"/>
    <mergeCell ref="I60:I65"/>
    <mergeCell ref="H60:H72"/>
  </mergeCells>
  <pageMargins left="0.51181102362204722" right="0" top="0.23622047244094491" bottom="0.31496062992125984" header="0.23622047244094491" footer="0.31496062992125984"/>
  <pageSetup paperSize="9" scale="80" orientation="landscape" horizontalDpi="180" verticalDpi="180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theme="0"/>
  </sheetPr>
  <dimension ref="A1:I78"/>
  <sheetViews>
    <sheetView topLeftCell="B32" workbookViewId="0">
      <selection activeCell="C47" sqref="C47"/>
    </sheetView>
  </sheetViews>
  <sheetFormatPr defaultColWidth="9.109375" defaultRowHeight="13.2"/>
  <cols>
    <col min="1" max="1" width="4" style="248" customWidth="1"/>
    <col min="2" max="2" width="43.88671875" style="248" customWidth="1"/>
    <col min="3" max="3" width="10.88671875" style="248" customWidth="1"/>
    <col min="4" max="4" width="10.88671875" style="236" customWidth="1"/>
    <col min="5" max="5" width="13" style="245" customWidth="1"/>
    <col min="6" max="6" width="14.6640625" style="245" customWidth="1"/>
    <col min="7" max="7" width="31.5546875" style="347" customWidth="1"/>
    <col min="8" max="8" width="14.6640625" style="248" customWidth="1"/>
    <col min="9" max="9" width="28.33203125" style="248" customWidth="1"/>
    <col min="10" max="16384" width="9.109375" style="248"/>
  </cols>
  <sheetData>
    <row r="1" spans="1:9" ht="15.75" customHeight="1">
      <c r="A1" s="330"/>
      <c r="B1" s="606" t="s">
        <v>638</v>
      </c>
      <c r="C1" s="606"/>
      <c r="D1" s="606"/>
      <c r="E1" s="606"/>
      <c r="F1" s="606"/>
      <c r="G1" s="606"/>
      <c r="H1" s="606"/>
      <c r="I1" s="606"/>
    </row>
    <row r="2" spans="1:9" ht="15.75" customHeight="1">
      <c r="A2" s="606" t="s">
        <v>618</v>
      </c>
      <c r="B2" s="606"/>
      <c r="C2" s="606"/>
      <c r="D2" s="606"/>
      <c r="E2" s="606"/>
      <c r="F2" s="606"/>
      <c r="G2" s="606"/>
      <c r="H2" s="606"/>
      <c r="I2" s="606"/>
    </row>
    <row r="3" spans="1:9" ht="42" customHeight="1">
      <c r="A3" s="331"/>
      <c r="B3" s="238" t="s">
        <v>84</v>
      </c>
      <c r="C3" s="238" t="s">
        <v>639</v>
      </c>
      <c r="D3" s="238" t="s">
        <v>640</v>
      </c>
      <c r="E3" s="238" t="s">
        <v>641</v>
      </c>
      <c r="F3" s="238" t="s">
        <v>642</v>
      </c>
      <c r="G3" s="238" t="s">
        <v>636</v>
      </c>
      <c r="H3" s="238" t="s">
        <v>643</v>
      </c>
      <c r="I3" s="238" t="s">
        <v>652</v>
      </c>
    </row>
    <row r="4" spans="1:9" ht="98.25" customHeight="1">
      <c r="A4" s="216" t="s">
        <v>645</v>
      </c>
      <c r="B4" s="332" t="s">
        <v>220</v>
      </c>
      <c r="C4" s="243">
        <v>440139</v>
      </c>
      <c r="D4" s="243">
        <f>12563+11692.116</f>
        <v>24255.116000000002</v>
      </c>
      <c r="E4" s="243">
        <f>D4-C4</f>
        <v>-415883.88400000002</v>
      </c>
      <c r="F4" s="333">
        <f>D4/C4*100</f>
        <v>5.5107854564126333</v>
      </c>
      <c r="G4" s="259" t="s">
        <v>721</v>
      </c>
      <c r="H4" s="322" t="s">
        <v>627</v>
      </c>
      <c r="I4" s="218" t="s">
        <v>653</v>
      </c>
    </row>
    <row r="5" spans="1:9" s="320" customFormat="1" ht="161.25" customHeight="1">
      <c r="A5" s="216" t="s">
        <v>646</v>
      </c>
      <c r="B5" s="332" t="s">
        <v>402</v>
      </c>
      <c r="C5" s="243">
        <v>448528</v>
      </c>
      <c r="D5" s="243">
        <f>7683</f>
        <v>7683</v>
      </c>
      <c r="E5" s="243">
        <f>D5-C5</f>
        <v>-440845</v>
      </c>
      <c r="F5" s="333">
        <f>D5/C5*100</f>
        <v>1.7129365390789426</v>
      </c>
      <c r="G5" s="214" t="s">
        <v>676</v>
      </c>
      <c r="H5" s="322" t="s">
        <v>627</v>
      </c>
      <c r="I5" s="218" t="s">
        <v>653</v>
      </c>
    </row>
    <row r="6" spans="1:9" s="320" customFormat="1" ht="27" customHeight="1">
      <c r="A6" s="328" t="s">
        <v>648</v>
      </c>
      <c r="B6" s="288" t="s">
        <v>119</v>
      </c>
      <c r="C6" s="325">
        <f>C7+C8+C10+C15+C16</f>
        <v>22760</v>
      </c>
      <c r="D6" s="325">
        <f>D7+D8+D10+D15+D16</f>
        <v>454</v>
      </c>
      <c r="E6" s="325">
        <f t="shared" ref="E6:E16" si="0">D6-C6</f>
        <v>-22306</v>
      </c>
      <c r="F6" s="325">
        <f t="shared" ref="F6:F16" si="1">D6/C6*100</f>
        <v>1.9947275922671353</v>
      </c>
      <c r="G6" s="214"/>
      <c r="H6" s="218"/>
      <c r="I6" s="334"/>
    </row>
    <row r="7" spans="1:9" s="320" customFormat="1" ht="65.25" customHeight="1">
      <c r="A7" s="328" t="s">
        <v>155</v>
      </c>
      <c r="B7" s="259" t="s">
        <v>286</v>
      </c>
      <c r="C7" s="200">
        <v>3856</v>
      </c>
      <c r="D7" s="218">
        <v>0</v>
      </c>
      <c r="E7" s="322">
        <f t="shared" si="0"/>
        <v>-3856</v>
      </c>
      <c r="F7" s="324">
        <f t="shared" si="1"/>
        <v>0</v>
      </c>
      <c r="G7" s="319" t="s">
        <v>660</v>
      </c>
      <c r="H7" s="607" t="s">
        <v>628</v>
      </c>
      <c r="I7" s="608" t="s">
        <v>654</v>
      </c>
    </row>
    <row r="8" spans="1:9" s="320" customFormat="1" ht="38.25" customHeight="1">
      <c r="A8" s="328" t="s">
        <v>156</v>
      </c>
      <c r="B8" s="259" t="s">
        <v>288</v>
      </c>
      <c r="C8" s="200">
        <v>1069</v>
      </c>
      <c r="D8" s="271"/>
      <c r="E8" s="322">
        <f t="shared" si="0"/>
        <v>-1069</v>
      </c>
      <c r="F8" s="324">
        <f t="shared" si="1"/>
        <v>0</v>
      </c>
      <c r="G8" s="319" t="s">
        <v>677</v>
      </c>
      <c r="H8" s="607"/>
      <c r="I8" s="609"/>
    </row>
    <row r="9" spans="1:9" s="320" customFormat="1" ht="54.75" customHeight="1">
      <c r="A9" s="328" t="s">
        <v>157</v>
      </c>
      <c r="B9" s="259" t="s">
        <v>712</v>
      </c>
      <c r="C9" s="271"/>
      <c r="D9" s="271"/>
      <c r="E9" s="371"/>
      <c r="F9" s="324"/>
      <c r="G9" s="319" t="s">
        <v>720</v>
      </c>
      <c r="H9" s="370" t="s">
        <v>713</v>
      </c>
      <c r="I9" s="609"/>
    </row>
    <row r="10" spans="1:9" s="320" customFormat="1" ht="105" customHeight="1">
      <c r="A10" s="328" t="s">
        <v>158</v>
      </c>
      <c r="B10" s="259" t="s">
        <v>661</v>
      </c>
      <c r="C10" s="200">
        <v>14547</v>
      </c>
      <c r="D10" s="363">
        <f>SUM(D12:D18)</f>
        <v>454</v>
      </c>
      <c r="E10" s="324">
        <f t="shared" si="0"/>
        <v>-14093</v>
      </c>
      <c r="F10" s="324">
        <f t="shared" si="1"/>
        <v>3.1209184024197429</v>
      </c>
      <c r="G10" s="319" t="s">
        <v>698</v>
      </c>
      <c r="H10" s="203" t="s">
        <v>630</v>
      </c>
      <c r="I10" s="609"/>
    </row>
    <row r="11" spans="1:9" s="320" customFormat="1" ht="14.25" customHeight="1">
      <c r="A11" s="328"/>
      <c r="B11" s="259" t="s">
        <v>662</v>
      </c>
      <c r="C11" s="200"/>
      <c r="D11" s="218"/>
      <c r="E11" s="324"/>
      <c r="F11" s="324"/>
      <c r="G11" s="319"/>
      <c r="H11" s="203"/>
      <c r="I11" s="609"/>
    </row>
    <row r="12" spans="1:9" s="320" customFormat="1" ht="24" customHeight="1">
      <c r="A12" s="328" t="s">
        <v>666</v>
      </c>
      <c r="B12" s="259" t="s">
        <v>664</v>
      </c>
      <c r="C12" s="200"/>
      <c r="D12" s="218">
        <v>454</v>
      </c>
      <c r="E12" s="324"/>
      <c r="F12" s="324"/>
      <c r="G12" s="319" t="s">
        <v>680</v>
      </c>
      <c r="H12" s="203"/>
      <c r="I12" s="609"/>
    </row>
    <row r="13" spans="1:9" s="320" customFormat="1" ht="93" customHeight="1">
      <c r="A13" s="328" t="s">
        <v>667</v>
      </c>
      <c r="B13" s="259" t="s">
        <v>663</v>
      </c>
      <c r="C13" s="200"/>
      <c r="D13" s="360"/>
      <c r="E13" s="324"/>
      <c r="F13" s="324"/>
      <c r="G13" s="319" t="s">
        <v>685</v>
      </c>
      <c r="H13" s="203"/>
      <c r="I13" s="610"/>
    </row>
    <row r="14" spans="1:9" s="320" customFormat="1" ht="78.75" customHeight="1">
      <c r="A14" s="328" t="s">
        <v>9</v>
      </c>
      <c r="B14" s="259" t="s">
        <v>665</v>
      </c>
      <c r="C14" s="200"/>
      <c r="D14" s="361"/>
      <c r="E14" s="324"/>
      <c r="F14" s="324"/>
      <c r="G14" s="319" t="s">
        <v>683</v>
      </c>
      <c r="H14" s="203"/>
      <c r="I14" s="608" t="s">
        <v>654</v>
      </c>
    </row>
    <row r="15" spans="1:9" s="335" customFormat="1" ht="51.75" customHeight="1">
      <c r="A15" s="328" t="s">
        <v>158</v>
      </c>
      <c r="B15" s="259" t="s">
        <v>616</v>
      </c>
      <c r="C15" s="200">
        <v>2540</v>
      </c>
      <c r="D15" s="362"/>
      <c r="E15" s="322"/>
      <c r="F15" s="324"/>
      <c r="G15" s="319" t="s">
        <v>686</v>
      </c>
      <c r="H15" s="322" t="s">
        <v>629</v>
      </c>
      <c r="I15" s="609"/>
    </row>
    <row r="16" spans="1:9" s="335" customFormat="1" ht="32.25" customHeight="1">
      <c r="A16" s="328" t="s">
        <v>159</v>
      </c>
      <c r="B16" s="259" t="s">
        <v>708</v>
      </c>
      <c r="C16" s="203">
        <f>(1496000/1000)/2</f>
        <v>748</v>
      </c>
      <c r="D16" s="322"/>
      <c r="E16" s="322">
        <f t="shared" si="0"/>
        <v>-748</v>
      </c>
      <c r="F16" s="324">
        <f t="shared" si="1"/>
        <v>0</v>
      </c>
      <c r="G16" s="319" t="s">
        <v>711</v>
      </c>
      <c r="H16" s="203" t="s">
        <v>630</v>
      </c>
      <c r="I16" s="609"/>
    </row>
    <row r="17" spans="1:9" s="335" customFormat="1" ht="32.25" customHeight="1">
      <c r="A17" s="328" t="s">
        <v>160</v>
      </c>
      <c r="B17" s="259" t="s">
        <v>707</v>
      </c>
      <c r="C17" s="203"/>
      <c r="D17" s="361"/>
      <c r="E17" s="361"/>
      <c r="F17" s="324"/>
      <c r="G17" s="319" t="s">
        <v>706</v>
      </c>
      <c r="H17" s="203" t="s">
        <v>630</v>
      </c>
      <c r="I17" s="609"/>
    </row>
    <row r="18" spans="1:9" s="335" customFormat="1" ht="32.25" customHeight="1">
      <c r="A18" s="328" t="s">
        <v>161</v>
      </c>
      <c r="B18" s="259" t="s">
        <v>709</v>
      </c>
      <c r="C18" s="203"/>
      <c r="D18" s="361"/>
      <c r="E18" s="361"/>
      <c r="F18" s="324"/>
      <c r="G18" s="319" t="s">
        <v>710</v>
      </c>
      <c r="H18" s="203" t="s">
        <v>630</v>
      </c>
      <c r="I18" s="610"/>
    </row>
    <row r="19" spans="1:9" s="320" customFormat="1" ht="20.25" customHeight="1">
      <c r="A19" s="328" t="s">
        <v>649</v>
      </c>
      <c r="B19" s="288" t="s">
        <v>125</v>
      </c>
      <c r="C19" s="321">
        <f>C20+C21+C22+C23+C24+C25+C26+C27</f>
        <v>9443.1</v>
      </c>
      <c r="D19" s="321">
        <f>D20+D21+D22+D23+D24+D25+D26+D27</f>
        <v>6279</v>
      </c>
      <c r="E19" s="321">
        <f>E20+E21+E22+E23+E24+E25+E26+E27</f>
        <v>3164.1</v>
      </c>
      <c r="F19" s="325">
        <f>D19/C19*100</f>
        <v>66.492994885154232</v>
      </c>
      <c r="G19" s="319"/>
      <c r="H19" s="200"/>
      <c r="I19" s="334"/>
    </row>
    <row r="20" spans="1:9" s="320" customFormat="1" ht="51.75" customHeight="1">
      <c r="A20" s="216" t="s">
        <v>195</v>
      </c>
      <c r="B20" s="259" t="s">
        <v>610</v>
      </c>
      <c r="C20" s="203">
        <v>1140</v>
      </c>
      <c r="D20" s="203">
        <v>1113</v>
      </c>
      <c r="E20" s="322">
        <f>C20-D20</f>
        <v>27</v>
      </c>
      <c r="F20" s="324">
        <f>D20/C20*100</f>
        <v>97.631578947368425</v>
      </c>
      <c r="G20" s="259" t="s">
        <v>655</v>
      </c>
      <c r="H20" s="611" t="s">
        <v>631</v>
      </c>
      <c r="I20" s="600" t="s">
        <v>653</v>
      </c>
    </row>
    <row r="21" spans="1:9" ht="21" customHeight="1">
      <c r="A21" s="216" t="s">
        <v>196</v>
      </c>
      <c r="B21" s="259" t="s">
        <v>624</v>
      </c>
      <c r="C21" s="244">
        <v>180</v>
      </c>
      <c r="D21" s="218">
        <v>174</v>
      </c>
      <c r="E21" s="322">
        <f t="shared" ref="E21:E27" si="2">C21-D21</f>
        <v>6</v>
      </c>
      <c r="F21" s="324">
        <f t="shared" ref="F21:F39" si="3">D21/C21*100</f>
        <v>96.666666666666671</v>
      </c>
      <c r="G21" s="259" t="s">
        <v>655</v>
      </c>
      <c r="H21" s="611"/>
      <c r="I21" s="600"/>
    </row>
    <row r="22" spans="1:9" ht="30" customHeight="1">
      <c r="A22" s="216" t="s">
        <v>197</v>
      </c>
      <c r="B22" s="259" t="s">
        <v>625</v>
      </c>
      <c r="C22" s="244">
        <v>60</v>
      </c>
      <c r="D22" s="218">
        <v>57</v>
      </c>
      <c r="E22" s="322">
        <f t="shared" si="2"/>
        <v>3</v>
      </c>
      <c r="F22" s="324">
        <f t="shared" si="3"/>
        <v>95</v>
      </c>
      <c r="G22" s="259" t="s">
        <v>655</v>
      </c>
      <c r="H22" s="611"/>
      <c r="I22" s="600"/>
    </row>
    <row r="23" spans="1:9" s="335" customFormat="1" ht="30" customHeight="1">
      <c r="A23" s="216" t="s">
        <v>198</v>
      </c>
      <c r="B23" s="259" t="s">
        <v>619</v>
      </c>
      <c r="C23" s="244">
        <v>46</v>
      </c>
      <c r="D23" s="218">
        <v>46</v>
      </c>
      <c r="E23" s="322">
        <f t="shared" si="2"/>
        <v>0</v>
      </c>
      <c r="F23" s="324">
        <f t="shared" si="3"/>
        <v>100</v>
      </c>
      <c r="G23" s="259" t="s">
        <v>655</v>
      </c>
      <c r="H23" s="611"/>
      <c r="I23" s="600"/>
    </row>
    <row r="24" spans="1:9" s="335" customFormat="1" ht="43.5" customHeight="1">
      <c r="A24" s="216" t="s">
        <v>199</v>
      </c>
      <c r="B24" s="259" t="s">
        <v>644</v>
      </c>
      <c r="C24" s="203">
        <v>6924</v>
      </c>
      <c r="D24" s="203">
        <v>3799</v>
      </c>
      <c r="E24" s="322">
        <f t="shared" si="2"/>
        <v>3125</v>
      </c>
      <c r="F24" s="324">
        <f t="shared" si="3"/>
        <v>54.867128827267479</v>
      </c>
      <c r="G24" s="319" t="s">
        <v>678</v>
      </c>
      <c r="H24" s="611" t="s">
        <v>631</v>
      </c>
      <c r="I24" s="600" t="s">
        <v>653</v>
      </c>
    </row>
    <row r="25" spans="1:9" s="335" customFormat="1" ht="33" customHeight="1">
      <c r="A25" s="216" t="s">
        <v>246</v>
      </c>
      <c r="B25" s="259" t="s">
        <v>626</v>
      </c>
      <c r="C25" s="203">
        <f>1*599</f>
        <v>599</v>
      </c>
      <c r="D25" s="218">
        <v>599</v>
      </c>
      <c r="E25" s="322">
        <f t="shared" si="2"/>
        <v>0</v>
      </c>
      <c r="F25" s="324">
        <f t="shared" si="3"/>
        <v>100</v>
      </c>
      <c r="G25" s="259" t="s">
        <v>655</v>
      </c>
      <c r="H25" s="611"/>
      <c r="I25" s="600"/>
    </row>
    <row r="26" spans="1:9" s="335" customFormat="1" ht="29.25" customHeight="1">
      <c r="A26" s="216" t="s">
        <v>247</v>
      </c>
      <c r="B26" s="259" t="s">
        <v>609</v>
      </c>
      <c r="C26" s="203">
        <f>2*221.5</f>
        <v>443</v>
      </c>
      <c r="D26" s="218">
        <v>440</v>
      </c>
      <c r="E26" s="322">
        <f t="shared" si="2"/>
        <v>3</v>
      </c>
      <c r="F26" s="324">
        <f t="shared" si="3"/>
        <v>99.322799097065456</v>
      </c>
      <c r="G26" s="259" t="s">
        <v>655</v>
      </c>
      <c r="H26" s="611"/>
      <c r="I26" s="600"/>
    </row>
    <row r="27" spans="1:9" s="335" customFormat="1" ht="27" customHeight="1">
      <c r="A27" s="216" t="s">
        <v>248</v>
      </c>
      <c r="B27" s="259" t="s">
        <v>620</v>
      </c>
      <c r="C27" s="203">
        <f>1*51.1</f>
        <v>51.1</v>
      </c>
      <c r="D27" s="218">
        <v>51</v>
      </c>
      <c r="E27" s="322">
        <f t="shared" si="2"/>
        <v>0.10000000000000142</v>
      </c>
      <c r="F27" s="324">
        <f t="shared" si="3"/>
        <v>99.80430528375733</v>
      </c>
      <c r="G27" s="259" t="s">
        <v>655</v>
      </c>
      <c r="H27" s="611"/>
      <c r="I27" s="600"/>
    </row>
    <row r="28" spans="1:9" ht="27" customHeight="1">
      <c r="A28" s="216" t="s">
        <v>650</v>
      </c>
      <c r="B28" s="336" t="s">
        <v>251</v>
      </c>
      <c r="C28" s="243">
        <f>C29+C30+C31</f>
        <v>170412</v>
      </c>
      <c r="D28" s="243">
        <f>D29+D30+D31</f>
        <v>155276.50000000003</v>
      </c>
      <c r="E28" s="243">
        <f>C28-D28</f>
        <v>15135.499999999971</v>
      </c>
      <c r="F28" s="325">
        <f t="shared" si="3"/>
        <v>91.118289791798716</v>
      </c>
      <c r="G28" s="272"/>
      <c r="H28" s="322"/>
      <c r="I28" s="253"/>
    </row>
    <row r="29" spans="1:9" ht="40.5" customHeight="1">
      <c r="A29" s="216" t="s">
        <v>11</v>
      </c>
      <c r="B29" s="214" t="s">
        <v>621</v>
      </c>
      <c r="C29" s="322">
        <v>313</v>
      </c>
      <c r="D29" s="218">
        <v>312</v>
      </c>
      <c r="E29" s="322">
        <f>D29-C29</f>
        <v>-1</v>
      </c>
      <c r="F29" s="324">
        <f t="shared" si="3"/>
        <v>99.680511182108617</v>
      </c>
      <c r="G29" s="319" t="s">
        <v>699</v>
      </c>
      <c r="H29" s="611" t="s">
        <v>632</v>
      </c>
      <c r="I29" s="600" t="s">
        <v>653</v>
      </c>
    </row>
    <row r="30" spans="1:9" ht="90" customHeight="1">
      <c r="A30" s="216" t="s">
        <v>12</v>
      </c>
      <c r="B30" s="214" t="s">
        <v>622</v>
      </c>
      <c r="C30" s="337">
        <v>685</v>
      </c>
      <c r="D30" s="218">
        <f>2*23</f>
        <v>46</v>
      </c>
      <c r="E30" s="322">
        <f>D30-C30</f>
        <v>-639</v>
      </c>
      <c r="F30" s="324">
        <f t="shared" si="3"/>
        <v>6.7153284671532854</v>
      </c>
      <c r="G30" s="214" t="s">
        <v>684</v>
      </c>
      <c r="H30" s="611"/>
      <c r="I30" s="600"/>
    </row>
    <row r="31" spans="1:9" ht="114.75" customHeight="1">
      <c r="A31" s="353" t="s">
        <v>27</v>
      </c>
      <c r="B31" s="354" t="s">
        <v>623</v>
      </c>
      <c r="C31" s="323">
        <v>169414</v>
      </c>
      <c r="D31" s="323">
        <f>133490.2+2678.6+2678.5+2678.5+2678.5+5357.1+5357.1</f>
        <v>154918.50000000003</v>
      </c>
      <c r="E31" s="323">
        <f>C31-D31</f>
        <v>14495.499999999971</v>
      </c>
      <c r="F31" s="355">
        <f t="shared" si="3"/>
        <v>91.443741367301428</v>
      </c>
      <c r="G31" s="356" t="s">
        <v>681</v>
      </c>
      <c r="H31" s="323" t="s">
        <v>656</v>
      </c>
      <c r="I31" s="352" t="s">
        <v>653</v>
      </c>
    </row>
    <row r="32" spans="1:9" ht="29.25" customHeight="1">
      <c r="A32" s="338" t="s">
        <v>651</v>
      </c>
      <c r="B32" s="288" t="s">
        <v>128</v>
      </c>
      <c r="C32" s="243">
        <f>C33+C34+C35+C36+C37+C38</f>
        <v>46159.82142857142</v>
      </c>
      <c r="D32" s="243">
        <f>D33+D34+D35+D36+D37+D38</f>
        <v>46066.392999999996</v>
      </c>
      <c r="E32" s="243">
        <f>C32-D32</f>
        <v>93.428428571423865</v>
      </c>
      <c r="F32" s="325">
        <f>D32/C32*100</f>
        <v>99.79759794193312</v>
      </c>
      <c r="G32" s="272"/>
      <c r="H32" s="322"/>
      <c r="I32" s="253"/>
    </row>
    <row r="33" spans="1:9" ht="16.5" customHeight="1">
      <c r="A33" s="338" t="s">
        <v>201</v>
      </c>
      <c r="B33" s="259" t="s">
        <v>611</v>
      </c>
      <c r="C33" s="203">
        <f>(12000000/1.12/1000)</f>
        <v>10714.285714285712</v>
      </c>
      <c r="D33" s="322">
        <v>10660.4</v>
      </c>
      <c r="E33" s="322">
        <f t="shared" ref="E33:E38" si="4">D33-C33</f>
        <v>-53.885714285712311</v>
      </c>
      <c r="F33" s="324">
        <f t="shared" si="3"/>
        <v>99.497066666666683</v>
      </c>
      <c r="G33" s="259" t="s">
        <v>655</v>
      </c>
      <c r="H33" s="611" t="s">
        <v>634</v>
      </c>
      <c r="I33" s="600" t="s">
        <v>657</v>
      </c>
    </row>
    <row r="34" spans="1:9" ht="17.25" customHeight="1">
      <c r="A34" s="338" t="s">
        <v>202</v>
      </c>
      <c r="B34" s="259" t="s">
        <v>668</v>
      </c>
      <c r="C34" s="203">
        <f>(8251000/1.12/1000)*1</f>
        <v>7366.9642857142853</v>
      </c>
      <c r="D34" s="203">
        <v>6574.1</v>
      </c>
      <c r="E34" s="357">
        <f t="shared" si="4"/>
        <v>-792.86428571428496</v>
      </c>
      <c r="F34" s="324">
        <f t="shared" si="3"/>
        <v>89.237571203490489</v>
      </c>
      <c r="G34" s="259" t="s">
        <v>679</v>
      </c>
      <c r="H34" s="611"/>
      <c r="I34" s="600"/>
    </row>
    <row r="35" spans="1:9" ht="27" customHeight="1">
      <c r="A35" s="338" t="s">
        <v>203</v>
      </c>
      <c r="B35" s="259" t="s">
        <v>612</v>
      </c>
      <c r="C35" s="203">
        <f>(6286000/1.12/1000)*2</f>
        <v>11224.999999999998</v>
      </c>
      <c r="D35" s="203">
        <f>6800+3950.893</f>
        <v>10750.893</v>
      </c>
      <c r="E35" s="357">
        <f t="shared" si="4"/>
        <v>-474.10699999999815</v>
      </c>
      <c r="F35" s="324">
        <f t="shared" si="3"/>
        <v>95.776329621380867</v>
      </c>
      <c r="G35" s="259" t="s">
        <v>655</v>
      </c>
      <c r="H35" s="611"/>
      <c r="I35" s="600"/>
    </row>
    <row r="36" spans="1:9" ht="18.75" customHeight="1">
      <c r="A36" s="338" t="s">
        <v>204</v>
      </c>
      <c r="B36" s="259" t="s">
        <v>613</v>
      </c>
      <c r="C36" s="203">
        <f>(16200000/1.12/1000)*1</f>
        <v>14464.285714285712</v>
      </c>
      <c r="D36" s="271">
        <v>15692</v>
      </c>
      <c r="E36" s="322">
        <f t="shared" si="4"/>
        <v>1227.7142857142881</v>
      </c>
      <c r="F36" s="324">
        <f t="shared" si="3"/>
        <v>108.48790123456793</v>
      </c>
      <c r="G36" s="214" t="s">
        <v>679</v>
      </c>
      <c r="H36" s="611"/>
      <c r="I36" s="600"/>
    </row>
    <row r="37" spans="1:9" s="339" customFormat="1" ht="18" customHeight="1">
      <c r="A37" s="338" t="s">
        <v>205</v>
      </c>
      <c r="B37" s="259" t="s">
        <v>614</v>
      </c>
      <c r="C37" s="203">
        <f>(950000/1.12/1000)*2</f>
        <v>1696.4285714285713</v>
      </c>
      <c r="D37" s="203">
        <v>1696</v>
      </c>
      <c r="E37" s="322">
        <f t="shared" si="4"/>
        <v>-0.42857142857133113</v>
      </c>
      <c r="F37" s="324">
        <f t="shared" si="3"/>
        <v>99.974736842105273</v>
      </c>
      <c r="G37" s="259" t="s">
        <v>655</v>
      </c>
      <c r="H37" s="611" t="s">
        <v>634</v>
      </c>
      <c r="I37" s="600" t="s">
        <v>657</v>
      </c>
    </row>
    <row r="38" spans="1:9" s="339" customFormat="1" ht="18" customHeight="1">
      <c r="A38" s="338" t="s">
        <v>206</v>
      </c>
      <c r="B38" s="259" t="s">
        <v>615</v>
      </c>
      <c r="C38" s="203">
        <f>(776000/1.12/1000)*1</f>
        <v>692.85714285714289</v>
      </c>
      <c r="D38" s="218">
        <v>693</v>
      </c>
      <c r="E38" s="322">
        <f t="shared" si="4"/>
        <v>0.14285714285711038</v>
      </c>
      <c r="F38" s="324">
        <f t="shared" si="3"/>
        <v>100.02061855670104</v>
      </c>
      <c r="G38" s="259" t="s">
        <v>655</v>
      </c>
      <c r="H38" s="611"/>
      <c r="I38" s="600"/>
    </row>
    <row r="39" spans="1:9" ht="18.75" customHeight="1">
      <c r="A39" s="338"/>
      <c r="B39" s="288" t="s">
        <v>134</v>
      </c>
      <c r="C39" s="243">
        <v>887</v>
      </c>
      <c r="D39" s="359">
        <f>SUM(D41:D49)</f>
        <v>702.57</v>
      </c>
      <c r="E39" s="243">
        <f>D39-C39</f>
        <v>-184.42999999999995</v>
      </c>
      <c r="F39" s="325">
        <f t="shared" si="3"/>
        <v>79.207440811724922</v>
      </c>
      <c r="G39" s="214"/>
      <c r="H39" s="322" t="s">
        <v>633</v>
      </c>
      <c r="I39" s="218" t="s">
        <v>658</v>
      </c>
    </row>
    <row r="40" spans="1:9" s="339" customFormat="1" ht="3" hidden="1" customHeight="1">
      <c r="A40" s="338" t="s">
        <v>647</v>
      </c>
      <c r="B40" s="214" t="s">
        <v>635</v>
      </c>
      <c r="C40" s="322">
        <v>483</v>
      </c>
      <c r="D40" s="244"/>
      <c r="E40" s="244"/>
      <c r="F40" s="244"/>
      <c r="G40" s="329"/>
      <c r="H40" s="322" t="s">
        <v>634</v>
      </c>
      <c r="I40" s="340"/>
    </row>
    <row r="41" spans="1:9" s="339" customFormat="1" ht="39.75" customHeight="1">
      <c r="A41" s="338" t="s">
        <v>647</v>
      </c>
      <c r="B41" s="214" t="s">
        <v>688</v>
      </c>
      <c r="C41" s="244">
        <v>121</v>
      </c>
      <c r="D41" s="244">
        <v>121</v>
      </c>
      <c r="E41" s="358">
        <f t="shared" ref="E41:E42" si="5">D41-C41</f>
        <v>0</v>
      </c>
      <c r="F41" s="324">
        <f t="shared" ref="F41:F42" si="6">D41/C41*100</f>
        <v>100</v>
      </c>
      <c r="G41" s="214" t="s">
        <v>689</v>
      </c>
      <c r="H41" s="603" t="s">
        <v>669</v>
      </c>
      <c r="I41" s="618" t="s">
        <v>658</v>
      </c>
    </row>
    <row r="42" spans="1:9" s="339" customFormat="1" ht="31.5" customHeight="1">
      <c r="A42" s="338" t="s">
        <v>690</v>
      </c>
      <c r="B42" s="341" t="s">
        <v>700</v>
      </c>
      <c r="C42" s="244">
        <f>2*81000/1000</f>
        <v>162</v>
      </c>
      <c r="D42" s="244">
        <f>2*81000/1000</f>
        <v>162</v>
      </c>
      <c r="E42" s="358">
        <f t="shared" si="5"/>
        <v>0</v>
      </c>
      <c r="F42" s="324">
        <f t="shared" si="6"/>
        <v>100</v>
      </c>
      <c r="G42" s="214" t="s">
        <v>702</v>
      </c>
      <c r="H42" s="604"/>
      <c r="I42" s="601"/>
    </row>
    <row r="43" spans="1:9" s="339" customFormat="1" ht="13.5" customHeight="1">
      <c r="A43" s="338" t="s">
        <v>691</v>
      </c>
      <c r="B43" s="341" t="s">
        <v>670</v>
      </c>
      <c r="C43" s="244">
        <f>6*5800/1000</f>
        <v>34.799999999999997</v>
      </c>
      <c r="D43" s="244">
        <f>6*5800/1000</f>
        <v>34.799999999999997</v>
      </c>
      <c r="E43" s="358">
        <f t="shared" ref="E43:E46" si="7">D43-C43</f>
        <v>0</v>
      </c>
      <c r="F43" s="324">
        <f t="shared" ref="F43:F45" si="8">D43/C43*100</f>
        <v>100</v>
      </c>
      <c r="G43" s="615" t="s">
        <v>701</v>
      </c>
      <c r="H43" s="604"/>
      <c r="I43" s="601"/>
    </row>
    <row r="44" spans="1:9" s="339" customFormat="1" ht="15" customHeight="1">
      <c r="A44" s="338" t="s">
        <v>692</v>
      </c>
      <c r="B44" s="341" t="s">
        <v>671</v>
      </c>
      <c r="C44" s="244">
        <f>4*7250/1000</f>
        <v>29</v>
      </c>
      <c r="D44" s="244">
        <f>4*7250/1000</f>
        <v>29</v>
      </c>
      <c r="E44" s="358">
        <f t="shared" si="7"/>
        <v>0</v>
      </c>
      <c r="F44" s="324">
        <f t="shared" si="8"/>
        <v>100</v>
      </c>
      <c r="G44" s="616"/>
      <c r="H44" s="604"/>
      <c r="I44" s="601"/>
    </row>
    <row r="45" spans="1:9" s="339" customFormat="1" ht="15" customHeight="1">
      <c r="A45" s="338" t="s">
        <v>693</v>
      </c>
      <c r="B45" s="341" t="s">
        <v>672</v>
      </c>
      <c r="C45" s="244">
        <f>5*12.8</f>
        <v>64</v>
      </c>
      <c r="D45" s="244">
        <f>5*12.8</f>
        <v>64</v>
      </c>
      <c r="E45" s="358">
        <f t="shared" si="7"/>
        <v>0</v>
      </c>
      <c r="F45" s="324">
        <f t="shared" si="8"/>
        <v>100</v>
      </c>
      <c r="G45" s="617"/>
      <c r="H45" s="604"/>
      <c r="I45" s="601"/>
    </row>
    <row r="46" spans="1:9" s="339" customFormat="1" ht="38.25" customHeight="1">
      <c r="A46" s="338" t="s">
        <v>694</v>
      </c>
      <c r="B46" s="341" t="s">
        <v>673</v>
      </c>
      <c r="C46" s="374">
        <f>1*38700/1000</f>
        <v>38.700000000000003</v>
      </c>
      <c r="D46" s="374">
        <f>1*38700/1000</f>
        <v>38.700000000000003</v>
      </c>
      <c r="E46" s="366">
        <f t="shared" si="7"/>
        <v>0</v>
      </c>
      <c r="F46" s="324">
        <f t="shared" ref="F46" si="9">D46/C46*100</f>
        <v>100</v>
      </c>
      <c r="G46" s="214" t="s">
        <v>703</v>
      </c>
      <c r="H46" s="604"/>
      <c r="I46" s="601"/>
    </row>
    <row r="47" spans="1:9" s="339" customFormat="1" ht="27.75" customHeight="1">
      <c r="A47" s="338" t="s">
        <v>695</v>
      </c>
      <c r="B47" s="341" t="s">
        <v>674</v>
      </c>
      <c r="C47" s="244">
        <f>4*25</f>
        <v>100</v>
      </c>
      <c r="D47" s="244">
        <f>4*25</f>
        <v>100</v>
      </c>
      <c r="E47" s="358">
        <f t="shared" ref="E47" si="10">D47-C47</f>
        <v>0</v>
      </c>
      <c r="F47" s="324">
        <f t="shared" ref="F47" si="11">D47/C47*100</f>
        <v>100</v>
      </c>
      <c r="G47" s="214" t="s">
        <v>704</v>
      </c>
      <c r="H47" s="604"/>
      <c r="I47" s="601"/>
    </row>
    <row r="48" spans="1:9" s="339" customFormat="1" ht="29.25" customHeight="1">
      <c r="A48" s="338" t="s">
        <v>696</v>
      </c>
      <c r="B48" s="341" t="s">
        <v>675</v>
      </c>
      <c r="C48" s="244">
        <v>110</v>
      </c>
      <c r="D48" s="374">
        <f>4*18.9</f>
        <v>75.599999999999994</v>
      </c>
      <c r="E48" s="358">
        <f t="shared" ref="E48:E49" si="12">D48-C48</f>
        <v>-34.400000000000006</v>
      </c>
      <c r="F48" s="324">
        <f t="shared" ref="F48:F49" si="13">D48/C48*100</f>
        <v>68.72727272727272</v>
      </c>
      <c r="G48" s="214" t="s">
        <v>687</v>
      </c>
      <c r="H48" s="604"/>
      <c r="I48" s="601"/>
    </row>
    <row r="49" spans="1:9" s="339" customFormat="1" ht="27.75" customHeight="1">
      <c r="A49" s="338" t="s">
        <v>697</v>
      </c>
      <c r="B49" s="341" t="s">
        <v>682</v>
      </c>
      <c r="C49" s="374">
        <f>10*7747/1000</f>
        <v>77.47</v>
      </c>
      <c r="D49" s="374">
        <f>10*7747/1000</f>
        <v>77.47</v>
      </c>
      <c r="E49" s="358">
        <f t="shared" si="12"/>
        <v>0</v>
      </c>
      <c r="F49" s="324">
        <f t="shared" si="13"/>
        <v>100</v>
      </c>
      <c r="G49" s="214" t="s">
        <v>705</v>
      </c>
      <c r="H49" s="605"/>
      <c r="I49" s="602"/>
    </row>
    <row r="50" spans="1:9" s="339" customFormat="1" ht="27.75" customHeight="1">
      <c r="A50" s="338"/>
      <c r="B50" s="341" t="s">
        <v>714</v>
      </c>
      <c r="C50" s="374"/>
      <c r="D50" s="374"/>
      <c r="E50" s="371"/>
      <c r="F50" s="324"/>
      <c r="G50" s="319" t="s">
        <v>717</v>
      </c>
      <c r="H50" s="372"/>
      <c r="I50" s="373"/>
    </row>
    <row r="51" spans="1:9" s="339" customFormat="1" ht="27.75" customHeight="1">
      <c r="A51" s="338"/>
      <c r="B51" s="375" t="s">
        <v>715</v>
      </c>
      <c r="C51" s="374"/>
      <c r="D51" s="374"/>
      <c r="E51" s="371"/>
      <c r="F51" s="324"/>
      <c r="G51" s="319" t="s">
        <v>718</v>
      </c>
      <c r="H51" s="372"/>
      <c r="I51" s="373"/>
    </row>
    <row r="52" spans="1:9" s="339" customFormat="1" ht="27.75" customHeight="1">
      <c r="A52" s="338"/>
      <c r="B52" s="341" t="s">
        <v>716</v>
      </c>
      <c r="C52" s="374"/>
      <c r="D52" s="374"/>
      <c r="E52" s="371"/>
      <c r="F52" s="324"/>
      <c r="G52" s="319" t="s">
        <v>719</v>
      </c>
      <c r="H52" s="372"/>
      <c r="I52" s="373"/>
    </row>
    <row r="53" spans="1:9" ht="24.75" customHeight="1">
      <c r="A53" s="338"/>
      <c r="B53" s="288" t="s">
        <v>95</v>
      </c>
      <c r="C53" s="243">
        <f>C4+C5+C6+C19+C28+C32+C39</f>
        <v>1138328.9214285715</v>
      </c>
      <c r="D53" s="326">
        <f>D4+D5+D6+D19+D28+D32+D39</f>
        <v>240716.57900000003</v>
      </c>
      <c r="E53" s="327">
        <f>C53-D53</f>
        <v>897612.34242857143</v>
      </c>
      <c r="F53" s="327">
        <f>D53/C53*100</f>
        <v>21.146487141687249</v>
      </c>
      <c r="G53" s="329"/>
      <c r="H53" s="243"/>
      <c r="I53" s="253"/>
    </row>
    <row r="54" spans="1:9" ht="15.75" customHeight="1">
      <c r="A54" s="342"/>
      <c r="B54" s="278"/>
      <c r="C54" s="280"/>
      <c r="D54" s="343"/>
      <c r="E54" s="343"/>
      <c r="F54" s="343"/>
      <c r="G54" s="344"/>
      <c r="H54" s="280"/>
    </row>
    <row r="55" spans="1:9" s="346" customFormat="1" ht="15.75" customHeight="1">
      <c r="A55" s="345"/>
    </row>
    <row r="56" spans="1:9" s="339" customFormat="1" ht="15.75" hidden="1" customHeight="1">
      <c r="A56" s="614" t="s">
        <v>496</v>
      </c>
      <c r="B56" s="614"/>
      <c r="C56" s="614"/>
      <c r="D56" s="614"/>
      <c r="E56" s="614"/>
      <c r="F56" s="614"/>
      <c r="G56" s="614"/>
      <c r="H56" s="614"/>
    </row>
    <row r="57" spans="1:9" hidden="1"/>
    <row r="58" spans="1:9" hidden="1">
      <c r="A58" s="614" t="s">
        <v>356</v>
      </c>
      <c r="B58" s="614"/>
      <c r="C58" s="614"/>
      <c r="D58" s="614"/>
      <c r="E58" s="614"/>
      <c r="F58" s="614"/>
      <c r="G58" s="614"/>
      <c r="H58" s="614"/>
    </row>
    <row r="59" spans="1:9" hidden="1"/>
    <row r="60" spans="1:9" hidden="1"/>
    <row r="61" spans="1:9" hidden="1"/>
    <row r="62" spans="1:9" ht="12.75" hidden="1" customHeight="1"/>
    <row r="63" spans="1:9" ht="12.75" hidden="1" customHeight="1"/>
    <row r="64" spans="1:9" ht="12.75" hidden="1" customHeight="1"/>
    <row r="65" spans="2:8" ht="12.75" hidden="1" customHeight="1"/>
    <row r="66" spans="2:8" ht="12.75" hidden="1" customHeight="1"/>
    <row r="67" spans="2:8" ht="12.75" hidden="1" customHeight="1"/>
    <row r="68" spans="2:8" ht="12.75" hidden="1" customHeight="1"/>
    <row r="69" spans="2:8" ht="12.75" hidden="1" customHeight="1"/>
    <row r="70" spans="2:8" ht="12.75" hidden="1" customHeight="1"/>
    <row r="71" spans="2:8" ht="13.8">
      <c r="B71" s="598" t="s">
        <v>659</v>
      </c>
      <c r="C71" s="598"/>
      <c r="D71" s="598"/>
      <c r="E71" s="598"/>
      <c r="F71" s="598"/>
      <c r="G71" s="598"/>
      <c r="H71" s="598"/>
    </row>
    <row r="72" spans="2:8">
      <c r="B72" s="348"/>
      <c r="C72" s="348"/>
      <c r="D72" s="349"/>
      <c r="E72" s="350"/>
      <c r="F72" s="350"/>
      <c r="G72" s="351"/>
      <c r="H72" s="348"/>
    </row>
    <row r="73" spans="2:8" ht="10.5" customHeight="1"/>
    <row r="78" spans="2:8">
      <c r="B78" s="599" t="s">
        <v>637</v>
      </c>
      <c r="C78" s="599"/>
      <c r="D78" s="599"/>
      <c r="E78" s="599"/>
      <c r="F78" s="599"/>
      <c r="G78" s="599"/>
      <c r="H78" s="599"/>
    </row>
  </sheetData>
  <mergeCells count="22">
    <mergeCell ref="B1:I1"/>
    <mergeCell ref="A2:I2"/>
    <mergeCell ref="H7:H8"/>
    <mergeCell ref="I7:I13"/>
    <mergeCell ref="I14:I18"/>
    <mergeCell ref="I20:I23"/>
    <mergeCell ref="H24:H27"/>
    <mergeCell ref="I24:I27"/>
    <mergeCell ref="H29:H30"/>
    <mergeCell ref="H20:H23"/>
    <mergeCell ref="I29:I30"/>
    <mergeCell ref="H41:H49"/>
    <mergeCell ref="B78:H78"/>
    <mergeCell ref="I33:I36"/>
    <mergeCell ref="H37:H38"/>
    <mergeCell ref="I37:I38"/>
    <mergeCell ref="A56:H56"/>
    <mergeCell ref="A58:H58"/>
    <mergeCell ref="H33:H36"/>
    <mergeCell ref="B71:H71"/>
    <mergeCell ref="G43:G45"/>
    <mergeCell ref="I41:I49"/>
  </mergeCells>
  <pageMargins left="0.31496062992125984" right="0" top="0.23622047244094491" bottom="0.31496062992125984" header="0.23622047244094491" footer="0.31496062992125984"/>
  <pageSetup paperSize="9" scale="80" orientation="landscape" horizontalDpi="180" verticalDpi="18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I31"/>
  <sheetViews>
    <sheetView topLeftCell="A4" workbookViewId="0">
      <pane xSplit="2" ySplit="2" topLeftCell="C15" activePane="bottomRight" state="frozen"/>
      <selection activeCell="A4" sqref="A4"/>
      <selection pane="topRight" activeCell="C4" sqref="C4"/>
      <selection pane="bottomLeft" activeCell="A6" sqref="A6"/>
      <selection pane="bottomRight" activeCell="B25" sqref="B25"/>
    </sheetView>
  </sheetViews>
  <sheetFormatPr defaultRowHeight="14.4"/>
  <cols>
    <col min="1" max="1" width="6.109375" customWidth="1"/>
    <col min="2" max="2" width="39.109375" customWidth="1"/>
    <col min="3" max="3" width="12" customWidth="1"/>
    <col min="4" max="4" width="11.33203125" customWidth="1"/>
    <col min="5" max="5" width="11.5546875" customWidth="1"/>
    <col min="6" max="6" width="12.88671875" customWidth="1"/>
    <col min="7" max="7" width="11.88671875" customWidth="1"/>
    <col min="9" max="9" width="15.5546875" customWidth="1"/>
  </cols>
  <sheetData>
    <row r="1" spans="1:9" ht="12.75" customHeight="1"/>
    <row r="2" spans="1:9" ht="14.25" customHeight="1">
      <c r="B2" s="620" t="s">
        <v>474</v>
      </c>
      <c r="C2" s="620"/>
      <c r="D2" s="620"/>
      <c r="E2" s="620"/>
      <c r="F2" s="620"/>
      <c r="G2" s="620"/>
      <c r="H2" s="620"/>
    </row>
    <row r="3" spans="1:9" ht="12" customHeight="1"/>
    <row r="4" spans="1:9">
      <c r="A4" s="619" t="s">
        <v>25</v>
      </c>
      <c r="B4" s="619" t="s">
        <v>468</v>
      </c>
      <c r="C4" s="621" t="s">
        <v>341</v>
      </c>
      <c r="D4" s="621"/>
      <c r="E4" s="621" t="s">
        <v>342</v>
      </c>
      <c r="F4" s="621"/>
      <c r="G4" s="621" t="s">
        <v>343</v>
      </c>
      <c r="H4" s="621"/>
      <c r="I4" s="619" t="s">
        <v>607</v>
      </c>
    </row>
    <row r="5" spans="1:9" s="39" customFormat="1" ht="26.4">
      <c r="A5" s="619"/>
      <c r="B5" s="619"/>
      <c r="C5" s="109" t="s">
        <v>467</v>
      </c>
      <c r="D5" s="109" t="s">
        <v>466</v>
      </c>
      <c r="E5" s="109" t="s">
        <v>467</v>
      </c>
      <c r="F5" s="109" t="s">
        <v>466</v>
      </c>
      <c r="G5" s="109" t="s">
        <v>467</v>
      </c>
      <c r="H5" s="109" t="s">
        <v>466</v>
      </c>
      <c r="I5" s="619"/>
    </row>
    <row r="6" spans="1:9" s="47" customFormat="1" ht="26.4">
      <c r="A6" s="128" t="s">
        <v>201</v>
      </c>
      <c r="B6" s="107" t="s">
        <v>254</v>
      </c>
      <c r="C6" s="201">
        <f>D6/2</f>
        <v>10031.499999999998</v>
      </c>
      <c r="D6" s="201">
        <f t="shared" ref="D6" si="0">22470560/1.12/1000</f>
        <v>20062.999999999996</v>
      </c>
      <c r="E6" s="201">
        <f>12000000/1.12/1000</f>
        <v>10714.285714285712</v>
      </c>
      <c r="F6" s="120">
        <f>E6*2</f>
        <v>21428.571428571424</v>
      </c>
      <c r="G6" s="201"/>
      <c r="H6" s="120"/>
      <c r="I6" s="201">
        <f>12000000/1.12/1000</f>
        <v>10714.285714285712</v>
      </c>
    </row>
    <row r="7" spans="1:9" s="47" customFormat="1" ht="15.6">
      <c r="A7" s="128" t="s">
        <v>202</v>
      </c>
      <c r="B7" s="107" t="s">
        <v>255</v>
      </c>
      <c r="C7" s="201">
        <f>D7/1</f>
        <v>43000</v>
      </c>
      <c r="D7" s="202">
        <f t="shared" ref="D7" si="1">43000000/1000</f>
        <v>43000</v>
      </c>
      <c r="E7" s="201"/>
      <c r="F7" s="120"/>
      <c r="G7" s="201"/>
      <c r="H7" s="120"/>
      <c r="I7" s="201"/>
    </row>
    <row r="8" spans="1:9" s="47" customFormat="1" ht="15.6">
      <c r="A8" s="128" t="s">
        <v>203</v>
      </c>
      <c r="B8" s="107" t="s">
        <v>256</v>
      </c>
      <c r="C8" s="201">
        <f t="shared" ref="C8:C11" si="2">D8/2</f>
        <v>3798.48</v>
      </c>
      <c r="D8" s="201">
        <f>3798480*2/1000</f>
        <v>7596.96</v>
      </c>
      <c r="E8" s="201">
        <f>6286000/1.12/1000</f>
        <v>5612.4999999999991</v>
      </c>
      <c r="F8" s="120">
        <f>E8*2</f>
        <v>11224.999999999998</v>
      </c>
      <c r="G8" s="201"/>
      <c r="H8" s="120"/>
      <c r="I8" s="201">
        <f>6286000/1.12/1000</f>
        <v>5612.4999999999991</v>
      </c>
    </row>
    <row r="9" spans="1:9" s="47" customFormat="1" ht="15.6">
      <c r="A9" s="128" t="s">
        <v>204</v>
      </c>
      <c r="B9" s="107" t="s">
        <v>469</v>
      </c>
      <c r="C9" s="201">
        <f>D9/1</f>
        <v>7450</v>
      </c>
      <c r="D9" s="203">
        <f>7450000/1000</f>
        <v>7450</v>
      </c>
      <c r="E9" s="201"/>
      <c r="F9" s="120"/>
      <c r="G9" s="201"/>
      <c r="H9" s="120"/>
      <c r="I9" s="315"/>
    </row>
    <row r="10" spans="1:9" s="47" customFormat="1" ht="15.6">
      <c r="A10" s="128" t="s">
        <v>205</v>
      </c>
      <c r="B10" s="107" t="s">
        <v>470</v>
      </c>
      <c r="C10" s="201">
        <f>D10/1</f>
        <v>5637.5</v>
      </c>
      <c r="D10" s="202">
        <f t="shared" ref="D10" si="3">5637500/1000</f>
        <v>5637.5</v>
      </c>
      <c r="E10" s="201"/>
      <c r="F10" s="120"/>
      <c r="G10" s="201"/>
      <c r="H10" s="120"/>
      <c r="I10" s="315"/>
    </row>
    <row r="11" spans="1:9" s="47" customFormat="1" ht="15.6">
      <c r="A11" s="128" t="s">
        <v>206</v>
      </c>
      <c r="B11" s="107" t="s">
        <v>258</v>
      </c>
      <c r="C11" s="201">
        <f t="shared" si="2"/>
        <v>0</v>
      </c>
      <c r="D11" s="120">
        <v>0</v>
      </c>
      <c r="E11" s="201"/>
      <c r="F11" s="120"/>
      <c r="G11" s="201"/>
      <c r="H11" s="120"/>
      <c r="I11" s="315"/>
    </row>
    <row r="12" spans="1:9" s="47" customFormat="1" ht="15.6">
      <c r="A12" s="128" t="s">
        <v>207</v>
      </c>
      <c r="B12" s="107" t="s">
        <v>297</v>
      </c>
      <c r="C12" s="201"/>
      <c r="D12" s="201"/>
      <c r="E12" s="201">
        <f>8251000/1.12/1000</f>
        <v>7366.9642857142853</v>
      </c>
      <c r="F12" s="120">
        <f>E12*1</f>
        <v>7366.9642857142853</v>
      </c>
      <c r="G12" s="201"/>
      <c r="H12" s="120"/>
      <c r="I12" s="201">
        <f>8251000/1.12/1000</f>
        <v>7366.9642857142853</v>
      </c>
    </row>
    <row r="13" spans="1:9" s="47" customFormat="1" ht="16.5" customHeight="1">
      <c r="A13" s="128" t="s">
        <v>129</v>
      </c>
      <c r="B13" s="112" t="s">
        <v>298</v>
      </c>
      <c r="C13" s="201"/>
      <c r="D13" s="201"/>
      <c r="E13" s="201"/>
      <c r="F13" s="120"/>
      <c r="G13" s="201"/>
      <c r="H13" s="120"/>
      <c r="I13" s="201"/>
    </row>
    <row r="14" spans="1:9" s="47" customFormat="1" ht="15.6">
      <c r="A14" s="128" t="s">
        <v>208</v>
      </c>
      <c r="B14" s="112" t="s">
        <v>200</v>
      </c>
      <c r="C14" s="201"/>
      <c r="D14" s="201"/>
      <c r="E14" s="201">
        <f>16500000/1.12/1000</f>
        <v>14732.142857142857</v>
      </c>
      <c r="F14" s="120">
        <f>E14*1</f>
        <v>14732.142857142857</v>
      </c>
      <c r="G14" s="201"/>
      <c r="H14" s="120"/>
      <c r="I14" s="201">
        <f>16500000/1.12/1000</f>
        <v>14732.142857142857</v>
      </c>
    </row>
    <row r="15" spans="1:9" s="39" customFormat="1" ht="15.6">
      <c r="A15" s="128" t="s">
        <v>209</v>
      </c>
      <c r="B15" s="107" t="s">
        <v>475</v>
      </c>
      <c r="C15" s="201"/>
      <c r="D15" s="202"/>
      <c r="E15" s="201">
        <f>16200000/1.12/1000</f>
        <v>14464.285714285712</v>
      </c>
      <c r="F15" s="120">
        <f>E15*1</f>
        <v>14464.285714285712</v>
      </c>
      <c r="G15" s="201"/>
      <c r="H15" s="120"/>
      <c r="I15" s="201">
        <f>16200000/1.12/1000</f>
        <v>14464.285714285712</v>
      </c>
    </row>
    <row r="16" spans="1:9" s="39" customFormat="1" ht="26.4">
      <c r="A16" s="128" t="s">
        <v>210</v>
      </c>
      <c r="B16" s="112" t="s">
        <v>472</v>
      </c>
      <c r="C16" s="201"/>
      <c r="D16" s="201"/>
      <c r="E16" s="201">
        <f>3285000/1.12/1000</f>
        <v>2933.0357142857142</v>
      </c>
      <c r="F16" s="120">
        <f>E16*1</f>
        <v>2933.0357142857142</v>
      </c>
      <c r="G16" s="201"/>
      <c r="H16" s="120"/>
      <c r="I16" s="201">
        <f>3285000/1.12/1000</f>
        <v>2933.0357142857142</v>
      </c>
    </row>
    <row r="17" spans="1:9" s="39" customFormat="1" ht="15.6">
      <c r="A17" s="128" t="s">
        <v>211</v>
      </c>
      <c r="B17" s="175" t="s">
        <v>464</v>
      </c>
      <c r="C17" s="201"/>
      <c r="D17" s="201"/>
      <c r="E17" s="201">
        <f>950000/1.12/1000</f>
        <v>848.21428571428567</v>
      </c>
      <c r="F17" s="120">
        <f>E17*2</f>
        <v>1696.4285714285713</v>
      </c>
      <c r="G17" s="201"/>
      <c r="H17" s="131"/>
      <c r="I17" s="201">
        <f>950000/1.12/1000</f>
        <v>848.21428571428567</v>
      </c>
    </row>
    <row r="18" spans="1:9" s="39" customFormat="1" ht="15.6">
      <c r="A18" s="128" t="s">
        <v>212</v>
      </c>
      <c r="B18" s="175" t="s">
        <v>465</v>
      </c>
      <c r="C18" s="201"/>
      <c r="D18" s="201"/>
      <c r="E18" s="201">
        <f>776000/1.12/1000</f>
        <v>692.85714285714289</v>
      </c>
      <c r="F18" s="120">
        <f t="shared" ref="F18" si="4">E18*1</f>
        <v>692.85714285714289</v>
      </c>
      <c r="G18" s="201"/>
      <c r="H18" s="131"/>
      <c r="I18" s="201">
        <f>776000/1.12/1000</f>
        <v>692.85714285714289</v>
      </c>
    </row>
    <row r="19" spans="1:9" s="39" customFormat="1" ht="15.6">
      <c r="A19" s="128" t="s">
        <v>213</v>
      </c>
      <c r="B19" s="107" t="s">
        <v>315</v>
      </c>
      <c r="C19" s="201"/>
      <c r="D19" s="201"/>
      <c r="E19" s="201"/>
      <c r="F19" s="120"/>
      <c r="G19" s="201">
        <f>(5632000/1.12/1000)</f>
        <v>5028.5714285714284</v>
      </c>
      <c r="H19" s="131">
        <f>G19*1</f>
        <v>5028.5714285714284</v>
      </c>
      <c r="I19" s="201">
        <f>(5632000/1.12/1000)</f>
        <v>5028.5714285714284</v>
      </c>
    </row>
    <row r="20" spans="1:9" s="39" customFormat="1" ht="15.6">
      <c r="A20" s="128" t="s">
        <v>214</v>
      </c>
      <c r="B20" s="107" t="s">
        <v>316</v>
      </c>
      <c r="C20" s="201"/>
      <c r="D20" s="120"/>
      <c r="E20" s="201"/>
      <c r="F20" s="120"/>
      <c r="G20" s="201">
        <f>(5000000/1.12/1000)</f>
        <v>4464.2857142857138</v>
      </c>
      <c r="H20" s="131">
        <f>G20*1</f>
        <v>4464.2857142857138</v>
      </c>
      <c r="I20" s="201">
        <f>5000000/1.12/1000</f>
        <v>4464.2857142857138</v>
      </c>
    </row>
    <row r="21" spans="1:9" s="39" customFormat="1" ht="15.6">
      <c r="A21" s="128" t="s">
        <v>130</v>
      </c>
      <c r="B21" s="107" t="s">
        <v>318</v>
      </c>
      <c r="C21" s="201"/>
      <c r="D21" s="120"/>
      <c r="E21" s="201"/>
      <c r="F21" s="120"/>
      <c r="G21" s="201">
        <f>((11670000+3620000)/1.12/1000)</f>
        <v>13651.785714285712</v>
      </c>
      <c r="H21" s="131">
        <f>G21*1</f>
        <v>13651.785714285712</v>
      </c>
      <c r="I21" s="201">
        <f>(11670000+3620000)/1.12/1000</f>
        <v>13651.785714285712</v>
      </c>
    </row>
    <row r="22" spans="1:9" s="39" customFormat="1" ht="15.6">
      <c r="A22" s="128" t="s">
        <v>215</v>
      </c>
      <c r="B22" s="107" t="s">
        <v>463</v>
      </c>
      <c r="C22" s="201"/>
      <c r="D22" s="120"/>
      <c r="E22" s="201"/>
      <c r="F22" s="120"/>
      <c r="G22" s="201">
        <f>(950000/1.12/1000)</f>
        <v>848.21428571428567</v>
      </c>
      <c r="H22" s="131">
        <f>G22*3</f>
        <v>2544.6428571428569</v>
      </c>
      <c r="I22" s="201">
        <f>(950000/1.12/1000)</f>
        <v>848.21428571428567</v>
      </c>
    </row>
    <row r="23" spans="1:9" s="39" customFormat="1" ht="15.6">
      <c r="A23" s="128" t="s">
        <v>131</v>
      </c>
      <c r="B23" s="107" t="s">
        <v>471</v>
      </c>
      <c r="C23" s="201"/>
      <c r="D23" s="120"/>
      <c r="E23" s="201"/>
      <c r="F23" s="120"/>
      <c r="G23" s="201">
        <f>(776000/1.12/1000)</f>
        <v>692.85714285714289</v>
      </c>
      <c r="H23" s="131">
        <f>G23*1</f>
        <v>692.85714285714289</v>
      </c>
      <c r="I23" s="201">
        <f>(776000/1.12/1000)</f>
        <v>692.85714285714289</v>
      </c>
    </row>
    <row r="24" spans="1:9" s="39" customFormat="1" ht="26.4">
      <c r="A24" s="128" t="s">
        <v>132</v>
      </c>
      <c r="B24" s="112" t="s">
        <v>473</v>
      </c>
      <c r="C24" s="201"/>
      <c r="D24" s="120"/>
      <c r="E24" s="201"/>
      <c r="F24" s="120"/>
      <c r="G24" s="201">
        <f>(3285000/1.12/1000)</f>
        <v>2933.0357142857142</v>
      </c>
      <c r="H24" s="131">
        <f>G24*1</f>
        <v>2933.0357142857142</v>
      </c>
      <c r="I24" s="201">
        <f>(3285000/1.12/1000)</f>
        <v>2933.0357142857142</v>
      </c>
    </row>
    <row r="25" spans="1:9" s="39" customFormat="1" ht="27" customHeight="1">
      <c r="A25" s="128" t="s">
        <v>216</v>
      </c>
      <c r="B25" s="259" t="s">
        <v>449</v>
      </c>
      <c r="C25" s="201"/>
      <c r="D25" s="120"/>
      <c r="E25" s="201"/>
      <c r="F25" s="120"/>
      <c r="G25" s="201">
        <f>(6286000/1.12/1000)</f>
        <v>5612.4999999999991</v>
      </c>
      <c r="H25" s="131">
        <f>G25*4</f>
        <v>22449.999999999996</v>
      </c>
      <c r="I25" s="201">
        <f>(6286000/1.12/1000)</f>
        <v>5612.4999999999991</v>
      </c>
    </row>
    <row r="26" spans="1:9" s="39" customFormat="1" ht="15.6">
      <c r="A26" s="128" t="s">
        <v>217</v>
      </c>
      <c r="B26" s="107" t="s">
        <v>450</v>
      </c>
      <c r="C26" s="201"/>
      <c r="D26" s="120"/>
      <c r="E26" s="201"/>
      <c r="F26" s="120"/>
      <c r="G26" s="201">
        <f>(12000000/1.12/1000)</f>
        <v>10714.285714285712</v>
      </c>
      <c r="H26" s="131">
        <f>G26*2</f>
        <v>21428.571428571424</v>
      </c>
      <c r="I26" s="201">
        <f>(12000000/1.12/1000)</f>
        <v>10714.285714285712</v>
      </c>
    </row>
    <row r="27" spans="1:9" s="39" customFormat="1" ht="15.6">
      <c r="A27" s="128" t="s">
        <v>218</v>
      </c>
      <c r="B27" s="184" t="s">
        <v>322</v>
      </c>
      <c r="C27" s="201"/>
      <c r="D27" s="120"/>
      <c r="E27" s="201"/>
      <c r="F27" s="120"/>
      <c r="G27" s="201">
        <f>8545000/1.12/1000</f>
        <v>7629.4642857142853</v>
      </c>
      <c r="H27" s="131">
        <f>G27*1</f>
        <v>7629.4642857142853</v>
      </c>
      <c r="I27" s="201">
        <f>8545000/1.12/1000</f>
        <v>7629.4642857142853</v>
      </c>
    </row>
    <row r="28" spans="1:9" s="39" customFormat="1" ht="15.6">
      <c r="A28" s="128"/>
      <c r="B28" s="107"/>
      <c r="C28" s="201"/>
      <c r="D28" s="120"/>
      <c r="E28" s="201"/>
      <c r="F28" s="120"/>
      <c r="G28" s="201"/>
      <c r="H28" s="120"/>
      <c r="I28" s="188"/>
    </row>
    <row r="29" spans="1:9" s="39" customFormat="1" ht="15.6">
      <c r="A29" s="128"/>
      <c r="B29" s="110" t="s">
        <v>139</v>
      </c>
      <c r="C29" s="110"/>
      <c r="D29" s="129">
        <f>SUM(D6:D19)</f>
        <v>83747.460000000006</v>
      </c>
      <c r="E29" s="129"/>
      <c r="F29" s="129">
        <f>SUM(F6:F19)</f>
        <v>74539.285714285696</v>
      </c>
      <c r="G29" s="129"/>
      <c r="H29" s="129">
        <f>SUM(H6:H27)</f>
        <v>80823.214285714275</v>
      </c>
      <c r="I29" s="311"/>
    </row>
    <row r="30" spans="1:9">
      <c r="B30" s="215"/>
      <c r="D30" s="316">
        <v>83747</v>
      </c>
      <c r="E30" s="317"/>
      <c r="F30" s="316">
        <v>79166</v>
      </c>
      <c r="G30" s="317"/>
      <c r="H30" s="316">
        <v>76327</v>
      </c>
      <c r="I30" s="316"/>
    </row>
    <row r="31" spans="1:9">
      <c r="B31" s="215" t="s">
        <v>608</v>
      </c>
      <c r="D31" s="317"/>
      <c r="E31" s="317"/>
      <c r="F31" s="318">
        <f>F30-F29</f>
        <v>4626.7142857143044</v>
      </c>
      <c r="G31" s="318"/>
      <c r="H31" s="318">
        <f t="shared" ref="H31" si="5">H30-H29</f>
        <v>-4496.2142857142753</v>
      </c>
      <c r="I31" s="318"/>
    </row>
  </sheetData>
  <mergeCells count="7">
    <mergeCell ref="I4:I5"/>
    <mergeCell ref="B2:H2"/>
    <mergeCell ref="A4:A5"/>
    <mergeCell ref="B4:B5"/>
    <mergeCell ref="C4:D4"/>
    <mergeCell ref="E4:F4"/>
    <mergeCell ref="G4:H4"/>
  </mergeCells>
  <pageMargins left="0.70866141732283472" right="0.70866141732283472" top="0.74803149606299213" bottom="0.74803149606299213" header="0.31496062992125984" footer="0.31496062992125984"/>
  <pageSetup paperSize="9" scale="95" orientation="landscape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H81"/>
  <sheetViews>
    <sheetView topLeftCell="A6" zoomScale="80" zoomScaleNormal="80" workbookViewId="0">
      <pane xSplit="1" ySplit="5" topLeftCell="B11" activePane="bottomRight" state="frozen"/>
      <selection activeCell="A6" sqref="A6"/>
      <selection pane="topRight" activeCell="B6" sqref="B6"/>
      <selection pane="bottomLeft" activeCell="A11" sqref="A11"/>
      <selection pane="bottomRight" activeCell="A48" sqref="A48:XFD48"/>
    </sheetView>
  </sheetViews>
  <sheetFormatPr defaultColWidth="9.109375" defaultRowHeight="15.6"/>
  <cols>
    <col min="1" max="1" width="6" style="39" customWidth="1"/>
    <col min="2" max="2" width="57" style="39" customWidth="1"/>
    <col min="3" max="3" width="35.6640625" style="40" customWidth="1"/>
    <col min="4" max="4" width="6" style="39" customWidth="1"/>
    <col min="5" max="5" width="15.33203125" style="40" customWidth="1"/>
    <col min="6" max="6" width="16.88671875" style="50" customWidth="1"/>
    <col min="7" max="7" width="16.6640625" style="39" customWidth="1"/>
    <col min="8" max="8" width="15.88671875" style="45" customWidth="1"/>
    <col min="9" max="16384" width="9.109375" style="39"/>
  </cols>
  <sheetData>
    <row r="1" spans="1:8" s="38" customFormat="1">
      <c r="A1" s="5"/>
      <c r="B1" s="195" t="s">
        <v>20</v>
      </c>
      <c r="C1" s="195"/>
      <c r="D1" s="7"/>
      <c r="E1" s="5"/>
      <c r="F1" s="622" t="s">
        <v>13</v>
      </c>
      <c r="G1" s="622"/>
      <c r="H1" s="622"/>
    </row>
    <row r="2" spans="1:8" s="38" customFormat="1">
      <c r="A2" s="5"/>
      <c r="B2" s="195" t="s">
        <v>21</v>
      </c>
      <c r="C2" s="195"/>
      <c r="D2" s="7"/>
      <c r="E2" s="5"/>
      <c r="F2" s="622" t="s">
        <v>21</v>
      </c>
      <c r="G2" s="622"/>
      <c r="H2" s="622"/>
    </row>
    <row r="3" spans="1:8" s="38" customFormat="1">
      <c r="A3" s="5"/>
      <c r="B3" s="195" t="s">
        <v>22</v>
      </c>
      <c r="C3" s="195"/>
      <c r="D3" s="7"/>
      <c r="E3" s="5"/>
      <c r="F3" s="622" t="s">
        <v>34</v>
      </c>
      <c r="G3" s="622"/>
      <c r="H3" s="622"/>
    </row>
    <row r="4" spans="1:8" s="38" customFormat="1">
      <c r="A4" s="5"/>
      <c r="B4" s="195" t="s">
        <v>355</v>
      </c>
      <c r="C4" s="195"/>
      <c r="D4" s="7"/>
      <c r="E4" s="5"/>
      <c r="F4" s="622" t="s">
        <v>33</v>
      </c>
      <c r="G4" s="622"/>
      <c r="H4" s="622"/>
    </row>
    <row r="5" spans="1:8" s="38" customFormat="1">
      <c r="A5" s="5"/>
      <c r="B5" s="195" t="s">
        <v>14</v>
      </c>
      <c r="C5" s="195"/>
      <c r="D5" s="7"/>
      <c r="E5" s="5"/>
      <c r="F5" s="622" t="s">
        <v>14</v>
      </c>
      <c r="G5" s="622"/>
      <c r="H5" s="622"/>
    </row>
    <row r="6" spans="1:8">
      <c r="A6" s="1"/>
      <c r="B6" s="10"/>
      <c r="C6" s="11"/>
      <c r="D6" s="11"/>
      <c r="E6" s="1"/>
      <c r="F6" s="10"/>
      <c r="G6" s="10"/>
      <c r="H6" s="1"/>
    </row>
    <row r="7" spans="1:8">
      <c r="A7" s="622" t="s">
        <v>353</v>
      </c>
      <c r="B7" s="622"/>
      <c r="C7" s="622"/>
      <c r="D7" s="622"/>
      <c r="E7" s="622"/>
      <c r="F7" s="622"/>
      <c r="G7" s="622"/>
      <c r="H7" s="622"/>
    </row>
    <row r="8" spans="1:8">
      <c r="A8" s="94"/>
      <c r="B8" s="95"/>
      <c r="C8" s="96"/>
      <c r="D8" s="97"/>
      <c r="E8" s="98"/>
      <c r="F8" s="99"/>
      <c r="G8" s="624" t="s">
        <v>270</v>
      </c>
      <c r="H8" s="624"/>
    </row>
    <row r="9" spans="1:8" ht="96.75" customHeight="1">
      <c r="A9" s="134" t="s">
        <v>25</v>
      </c>
      <c r="B9" s="101" t="s">
        <v>84</v>
      </c>
      <c r="C9" s="101" t="s">
        <v>85</v>
      </c>
      <c r="D9" s="102" t="s">
        <v>2</v>
      </c>
      <c r="E9" s="101" t="s">
        <v>81</v>
      </c>
      <c r="F9" s="101" t="s">
        <v>82</v>
      </c>
      <c r="G9" s="101" t="s">
        <v>26</v>
      </c>
      <c r="H9" s="101" t="s">
        <v>83</v>
      </c>
    </row>
    <row r="10" spans="1:8" ht="15.75" customHeight="1">
      <c r="A10" s="103">
        <v>1</v>
      </c>
      <c r="B10" s="198">
        <v>2</v>
      </c>
      <c r="C10" s="198">
        <v>3</v>
      </c>
      <c r="D10" s="198">
        <v>4</v>
      </c>
      <c r="E10" s="198">
        <v>5</v>
      </c>
      <c r="F10" s="198">
        <v>6</v>
      </c>
      <c r="G10" s="198">
        <v>7</v>
      </c>
      <c r="H10" s="104">
        <v>8</v>
      </c>
    </row>
    <row r="11" spans="1:8" ht="15" customHeight="1">
      <c r="A11" s="103"/>
      <c r="B11" s="625" t="s">
        <v>41</v>
      </c>
      <c r="C11" s="625"/>
      <c r="D11" s="625"/>
      <c r="E11" s="625"/>
      <c r="F11" s="625"/>
      <c r="G11" s="625"/>
      <c r="H11" s="105">
        <f>H20+H42+H49+H60+H64+H73+H76</f>
        <v>1094175</v>
      </c>
    </row>
    <row r="12" spans="1:8" ht="17.25" customHeight="1">
      <c r="A12" s="103"/>
      <c r="B12" s="106" t="s">
        <v>220</v>
      </c>
      <c r="C12" s="106"/>
      <c r="D12" s="106"/>
      <c r="E12" s="106"/>
      <c r="F12" s="106"/>
      <c r="G12" s="106"/>
      <c r="H12" s="105"/>
    </row>
    <row r="13" spans="1:8" ht="26.4">
      <c r="A13" s="103" t="s">
        <v>3</v>
      </c>
      <c r="B13" s="107" t="s">
        <v>396</v>
      </c>
      <c r="C13" s="619" t="s">
        <v>36</v>
      </c>
      <c r="D13" s="198">
        <v>1</v>
      </c>
      <c r="E13" s="198" t="s">
        <v>37</v>
      </c>
      <c r="F13" s="198" t="s">
        <v>46</v>
      </c>
      <c r="G13" s="199" t="s">
        <v>38</v>
      </c>
      <c r="H13" s="120">
        <v>51064</v>
      </c>
    </row>
    <row r="14" spans="1:8" s="49" customFormat="1" ht="37.5" customHeight="1">
      <c r="A14" s="103" t="s">
        <v>4</v>
      </c>
      <c r="B14" s="138" t="s">
        <v>397</v>
      </c>
      <c r="C14" s="619"/>
      <c r="D14" s="198">
        <v>1</v>
      </c>
      <c r="E14" s="198" t="s">
        <v>37</v>
      </c>
      <c r="F14" s="198" t="s">
        <v>46</v>
      </c>
      <c r="G14" s="199" t="s">
        <v>38</v>
      </c>
      <c r="H14" s="120">
        <v>35952</v>
      </c>
    </row>
    <row r="15" spans="1:8" s="49" customFormat="1" ht="31.5" customHeight="1">
      <c r="A15" s="103" t="s">
        <v>5</v>
      </c>
      <c r="B15" s="138" t="s">
        <v>398</v>
      </c>
      <c r="C15" s="619"/>
      <c r="D15" s="198">
        <v>1</v>
      </c>
      <c r="E15" s="198" t="s">
        <v>37</v>
      </c>
      <c r="F15" s="198" t="s">
        <v>46</v>
      </c>
      <c r="G15" s="199" t="s">
        <v>38</v>
      </c>
      <c r="H15" s="120">
        <v>31776</v>
      </c>
    </row>
    <row r="16" spans="1:8" s="49" customFormat="1" ht="36.75" customHeight="1">
      <c r="A16" s="103" t="s">
        <v>6</v>
      </c>
      <c r="B16" s="139" t="s">
        <v>399</v>
      </c>
      <c r="C16" s="619"/>
      <c r="D16" s="198">
        <v>1</v>
      </c>
      <c r="E16" s="198" t="s">
        <v>37</v>
      </c>
      <c r="F16" s="198" t="s">
        <v>46</v>
      </c>
      <c r="G16" s="199" t="s">
        <v>38</v>
      </c>
      <c r="H16" s="120">
        <v>62164</v>
      </c>
    </row>
    <row r="17" spans="1:8" s="49" customFormat="1" ht="24.75" customHeight="1">
      <c r="A17" s="103" t="s">
        <v>7</v>
      </c>
      <c r="B17" s="142" t="s">
        <v>86</v>
      </c>
      <c r="C17" s="619"/>
      <c r="D17" s="198">
        <v>1</v>
      </c>
      <c r="E17" s="198" t="s">
        <v>37</v>
      </c>
      <c r="F17" s="198" t="s">
        <v>46</v>
      </c>
      <c r="G17" s="199" t="s">
        <v>38</v>
      </c>
      <c r="H17" s="120">
        <v>109865</v>
      </c>
    </row>
    <row r="18" spans="1:8" s="49" customFormat="1" ht="30.75" customHeight="1">
      <c r="A18" s="103" t="s">
        <v>8</v>
      </c>
      <c r="B18" s="142" t="s">
        <v>400</v>
      </c>
      <c r="C18" s="143" t="s">
        <v>271</v>
      </c>
      <c r="D18" s="140">
        <v>1</v>
      </c>
      <c r="E18" s="140" t="s">
        <v>37</v>
      </c>
      <c r="F18" s="140" t="s">
        <v>46</v>
      </c>
      <c r="G18" s="141" t="s">
        <v>38</v>
      </c>
      <c r="H18" s="120">
        <v>87543</v>
      </c>
    </row>
    <row r="19" spans="1:8" s="49" customFormat="1" ht="28.5" customHeight="1">
      <c r="A19" s="103" t="s">
        <v>19</v>
      </c>
      <c r="B19" s="138" t="s">
        <v>401</v>
      </c>
      <c r="C19" s="143"/>
      <c r="D19" s="140">
        <v>1</v>
      </c>
      <c r="E19" s="104" t="s">
        <v>37</v>
      </c>
      <c r="F19" s="104" t="s">
        <v>46</v>
      </c>
      <c r="G19" s="141" t="s">
        <v>38</v>
      </c>
      <c r="H19" s="120">
        <v>126608</v>
      </c>
    </row>
    <row r="20" spans="1:8" s="49" customFormat="1">
      <c r="A20" s="103"/>
      <c r="B20" s="144" t="s">
        <v>87</v>
      </c>
      <c r="C20" s="101"/>
      <c r="D20" s="101"/>
      <c r="E20" s="101"/>
      <c r="F20" s="101"/>
      <c r="G20" s="111"/>
      <c r="H20" s="145">
        <f>SUM(H13:H19)</f>
        <v>504972</v>
      </c>
    </row>
    <row r="21" spans="1:8" s="49" customFormat="1" ht="37.5" customHeight="1">
      <c r="A21" s="103"/>
      <c r="B21" s="110" t="s">
        <v>402</v>
      </c>
      <c r="C21" s="104"/>
      <c r="D21" s="140"/>
      <c r="E21" s="140"/>
      <c r="F21" s="140"/>
      <c r="G21" s="141"/>
      <c r="H21" s="109"/>
    </row>
    <row r="22" spans="1:8" s="49" customFormat="1" ht="29.25" customHeight="1">
      <c r="A22" s="103" t="s">
        <v>186</v>
      </c>
      <c r="B22" s="138" t="s">
        <v>403</v>
      </c>
      <c r="C22" s="619" t="s">
        <v>36</v>
      </c>
      <c r="D22" s="140">
        <v>1</v>
      </c>
      <c r="E22" s="104" t="s">
        <v>272</v>
      </c>
      <c r="F22" s="104" t="s">
        <v>273</v>
      </c>
      <c r="G22" s="141" t="s">
        <v>38</v>
      </c>
      <c r="H22" s="182">
        <v>22956</v>
      </c>
    </row>
    <row r="23" spans="1:8" s="49" customFormat="1" ht="29.25" customHeight="1">
      <c r="A23" s="103" t="s">
        <v>48</v>
      </c>
      <c r="B23" s="107" t="s">
        <v>404</v>
      </c>
      <c r="C23" s="619"/>
      <c r="D23" s="104">
        <v>1</v>
      </c>
      <c r="E23" s="104" t="s">
        <v>272</v>
      </c>
      <c r="F23" s="104" t="s">
        <v>273</v>
      </c>
      <c r="G23" s="141" t="s">
        <v>38</v>
      </c>
      <c r="H23" s="182">
        <v>1592</v>
      </c>
    </row>
    <row r="24" spans="1:8" s="49" customFormat="1" ht="26.4">
      <c r="A24" s="103" t="s">
        <v>274</v>
      </c>
      <c r="B24" s="138" t="s">
        <v>405</v>
      </c>
      <c r="C24" s="619"/>
      <c r="D24" s="104">
        <v>1</v>
      </c>
      <c r="E24" s="104" t="s">
        <v>272</v>
      </c>
      <c r="F24" s="104" t="s">
        <v>273</v>
      </c>
      <c r="G24" s="141" t="s">
        <v>38</v>
      </c>
      <c r="H24" s="182">
        <v>7101</v>
      </c>
    </row>
    <row r="25" spans="1:8" s="49" customFormat="1" ht="26.4">
      <c r="A25" s="103" t="s">
        <v>275</v>
      </c>
      <c r="B25" s="138" t="s">
        <v>406</v>
      </c>
      <c r="C25" s="619"/>
      <c r="D25" s="104">
        <v>1</v>
      </c>
      <c r="E25" s="104" t="s">
        <v>272</v>
      </c>
      <c r="F25" s="104" t="s">
        <v>273</v>
      </c>
      <c r="G25" s="108" t="s">
        <v>38</v>
      </c>
      <c r="H25" s="182">
        <v>14642</v>
      </c>
    </row>
    <row r="26" spans="1:8" s="49" customFormat="1" ht="26.4">
      <c r="A26" s="103" t="s">
        <v>276</v>
      </c>
      <c r="B26" s="107" t="s">
        <v>407</v>
      </c>
      <c r="C26" s="619"/>
      <c r="D26" s="104">
        <v>1</v>
      </c>
      <c r="E26" s="104" t="s">
        <v>272</v>
      </c>
      <c r="F26" s="104" t="s">
        <v>273</v>
      </c>
      <c r="G26" s="108" t="s">
        <v>38</v>
      </c>
      <c r="H26" s="182">
        <v>23591</v>
      </c>
    </row>
    <row r="27" spans="1:8" s="49" customFormat="1" ht="29.25" customHeight="1">
      <c r="A27" s="103" t="s">
        <v>277</v>
      </c>
      <c r="B27" s="138" t="s">
        <v>408</v>
      </c>
      <c r="C27" s="619" t="s">
        <v>36</v>
      </c>
      <c r="D27" s="104">
        <v>1</v>
      </c>
      <c r="E27" s="104" t="s">
        <v>272</v>
      </c>
      <c r="F27" s="104" t="s">
        <v>273</v>
      </c>
      <c r="G27" s="108" t="s">
        <v>38</v>
      </c>
      <c r="H27" s="182">
        <v>31842</v>
      </c>
    </row>
    <row r="28" spans="1:8" s="49" customFormat="1" ht="27.75" customHeight="1">
      <c r="A28" s="103" t="s">
        <v>278</v>
      </c>
      <c r="B28" s="138" t="s">
        <v>409</v>
      </c>
      <c r="C28" s="619"/>
      <c r="D28" s="104">
        <v>1</v>
      </c>
      <c r="E28" s="104" t="s">
        <v>272</v>
      </c>
      <c r="F28" s="104" t="s">
        <v>273</v>
      </c>
      <c r="G28" s="108" t="s">
        <v>38</v>
      </c>
      <c r="H28" s="182">
        <v>29457</v>
      </c>
    </row>
    <row r="29" spans="1:8" s="49" customFormat="1" ht="26.25" customHeight="1">
      <c r="A29" s="103" t="s">
        <v>279</v>
      </c>
      <c r="B29" s="138" t="s">
        <v>410</v>
      </c>
      <c r="C29" s="619"/>
      <c r="D29" s="104">
        <v>1</v>
      </c>
      <c r="E29" s="104" t="s">
        <v>272</v>
      </c>
      <c r="F29" s="104" t="s">
        <v>273</v>
      </c>
      <c r="G29" s="108" t="s">
        <v>38</v>
      </c>
      <c r="H29" s="182">
        <v>171352</v>
      </c>
    </row>
    <row r="30" spans="1:8" s="49" customFormat="1" ht="29.25" customHeight="1">
      <c r="A30" s="103" t="s">
        <v>280</v>
      </c>
      <c r="B30" s="138" t="s">
        <v>411</v>
      </c>
      <c r="C30" s="619"/>
      <c r="D30" s="104">
        <v>1</v>
      </c>
      <c r="E30" s="104" t="s">
        <v>272</v>
      </c>
      <c r="F30" s="104" t="s">
        <v>273</v>
      </c>
      <c r="G30" s="108" t="s">
        <v>38</v>
      </c>
      <c r="H30" s="182">
        <v>846</v>
      </c>
    </row>
    <row r="31" spans="1:8" s="49" customFormat="1" ht="30.75" customHeight="1">
      <c r="A31" s="103" t="s">
        <v>281</v>
      </c>
      <c r="B31" s="107" t="s">
        <v>412</v>
      </c>
      <c r="C31" s="619"/>
      <c r="D31" s="104">
        <v>1</v>
      </c>
      <c r="E31" s="104" t="s">
        <v>272</v>
      </c>
      <c r="F31" s="104" t="s">
        <v>273</v>
      </c>
      <c r="G31" s="108" t="s">
        <v>38</v>
      </c>
      <c r="H31" s="182">
        <v>332</v>
      </c>
    </row>
    <row r="32" spans="1:8" s="49" customFormat="1" ht="27" customHeight="1">
      <c r="A32" s="103" t="s">
        <v>282</v>
      </c>
      <c r="B32" s="139" t="s">
        <v>413</v>
      </c>
      <c r="C32" s="619"/>
      <c r="D32" s="104">
        <v>1</v>
      </c>
      <c r="E32" s="104" t="s">
        <v>272</v>
      </c>
      <c r="F32" s="104" t="s">
        <v>273</v>
      </c>
      <c r="G32" s="108" t="s">
        <v>38</v>
      </c>
      <c r="H32" s="182">
        <v>14085</v>
      </c>
    </row>
    <row r="33" spans="1:8" s="49" customFormat="1" ht="26.4">
      <c r="A33" s="103" t="s">
        <v>283</v>
      </c>
      <c r="B33" s="138" t="s">
        <v>414</v>
      </c>
      <c r="C33" s="619"/>
      <c r="D33" s="104">
        <v>1</v>
      </c>
      <c r="E33" s="104" t="s">
        <v>272</v>
      </c>
      <c r="F33" s="104" t="s">
        <v>273</v>
      </c>
      <c r="G33" s="108" t="s">
        <v>38</v>
      </c>
      <c r="H33" s="182">
        <v>4330</v>
      </c>
    </row>
    <row r="34" spans="1:8" s="49" customFormat="1" ht="31.5" customHeight="1">
      <c r="A34" s="103" t="s">
        <v>231</v>
      </c>
      <c r="B34" s="138" t="s">
        <v>415</v>
      </c>
      <c r="C34" s="619"/>
      <c r="D34" s="104">
        <v>1</v>
      </c>
      <c r="E34" s="104" t="s">
        <v>272</v>
      </c>
      <c r="F34" s="104" t="s">
        <v>273</v>
      </c>
      <c r="G34" s="108" t="s">
        <v>38</v>
      </c>
      <c r="H34" s="182">
        <v>28946</v>
      </c>
    </row>
    <row r="35" spans="1:8" s="49" customFormat="1" ht="27.75" customHeight="1">
      <c r="A35" s="103" t="s">
        <v>232</v>
      </c>
      <c r="B35" s="138" t="s">
        <v>416</v>
      </c>
      <c r="C35" s="619"/>
      <c r="D35" s="104">
        <v>1</v>
      </c>
      <c r="E35" s="104" t="s">
        <v>272</v>
      </c>
      <c r="F35" s="104" t="s">
        <v>273</v>
      </c>
      <c r="G35" s="108" t="s">
        <v>38</v>
      </c>
      <c r="H35" s="182">
        <v>1806</v>
      </c>
    </row>
    <row r="36" spans="1:8" s="49" customFormat="1" ht="32.25" customHeight="1">
      <c r="A36" s="103" t="s">
        <v>233</v>
      </c>
      <c r="B36" s="138" t="s">
        <v>417</v>
      </c>
      <c r="C36" s="619"/>
      <c r="D36" s="104">
        <v>1</v>
      </c>
      <c r="E36" s="104" t="s">
        <v>272</v>
      </c>
      <c r="F36" s="104" t="s">
        <v>273</v>
      </c>
      <c r="G36" s="108" t="s">
        <v>38</v>
      </c>
      <c r="H36" s="182">
        <v>3939</v>
      </c>
    </row>
    <row r="37" spans="1:8" s="49" customFormat="1" ht="29.25" customHeight="1">
      <c r="A37" s="103" t="s">
        <v>234</v>
      </c>
      <c r="B37" s="138" t="s">
        <v>418</v>
      </c>
      <c r="C37" s="619"/>
      <c r="D37" s="104">
        <v>1</v>
      </c>
      <c r="E37" s="104" t="s">
        <v>272</v>
      </c>
      <c r="F37" s="104" t="s">
        <v>273</v>
      </c>
      <c r="G37" s="108" t="s">
        <v>38</v>
      </c>
      <c r="H37" s="182">
        <v>24618</v>
      </c>
    </row>
    <row r="38" spans="1:8" s="49" customFormat="1" ht="27.75" customHeight="1">
      <c r="A38" s="103" t="s">
        <v>235</v>
      </c>
      <c r="B38" s="138" t="s">
        <v>419</v>
      </c>
      <c r="C38" s="619"/>
      <c r="D38" s="104">
        <v>1</v>
      </c>
      <c r="E38" s="104" t="s">
        <v>272</v>
      </c>
      <c r="F38" s="104" t="s">
        <v>273</v>
      </c>
      <c r="G38" s="108" t="s">
        <v>38</v>
      </c>
      <c r="H38" s="183">
        <v>7789</v>
      </c>
    </row>
    <row r="39" spans="1:8" s="49" customFormat="1" ht="30" customHeight="1">
      <c r="A39" s="103" t="s">
        <v>236</v>
      </c>
      <c r="B39" s="138" t="s">
        <v>420</v>
      </c>
      <c r="C39" s="619"/>
      <c r="D39" s="104">
        <v>1</v>
      </c>
      <c r="E39" s="104" t="s">
        <v>272</v>
      </c>
      <c r="F39" s="104" t="s">
        <v>273</v>
      </c>
      <c r="G39" s="108" t="s">
        <v>38</v>
      </c>
      <c r="H39" s="182">
        <v>3103</v>
      </c>
    </row>
    <row r="40" spans="1:8" s="49" customFormat="1" ht="30.75" customHeight="1">
      <c r="A40" s="103" t="s">
        <v>237</v>
      </c>
      <c r="B40" s="138" t="s">
        <v>421</v>
      </c>
      <c r="C40" s="619"/>
      <c r="D40" s="104">
        <v>1</v>
      </c>
      <c r="E40" s="104" t="s">
        <v>272</v>
      </c>
      <c r="F40" s="104" t="s">
        <v>273</v>
      </c>
      <c r="G40" s="108" t="s">
        <v>38</v>
      </c>
      <c r="H40" s="182">
        <v>31308</v>
      </c>
    </row>
    <row r="41" spans="1:8" s="49" customFormat="1" ht="30" customHeight="1">
      <c r="A41" s="103" t="s">
        <v>238</v>
      </c>
      <c r="B41" s="138" t="s">
        <v>422</v>
      </c>
      <c r="C41" s="619"/>
      <c r="D41" s="104">
        <v>1</v>
      </c>
      <c r="E41" s="104" t="s">
        <v>272</v>
      </c>
      <c r="F41" s="104" t="s">
        <v>273</v>
      </c>
      <c r="G41" s="108" t="s">
        <v>38</v>
      </c>
      <c r="H41" s="182">
        <v>26485</v>
      </c>
    </row>
    <row r="42" spans="1:8" s="49" customFormat="1" ht="20.25" customHeight="1">
      <c r="A42" s="103"/>
      <c r="B42" s="146" t="s">
        <v>88</v>
      </c>
      <c r="C42" s="147"/>
      <c r="D42" s="147"/>
      <c r="E42" s="147"/>
      <c r="F42" s="147"/>
      <c r="G42" s="148"/>
      <c r="H42" s="145">
        <f>SUM(H22:H41)</f>
        <v>450120</v>
      </c>
    </row>
    <row r="43" spans="1:8" s="49" customFormat="1" ht="27.75" customHeight="1">
      <c r="A43" s="149"/>
      <c r="B43" s="113" t="s">
        <v>119</v>
      </c>
      <c r="C43" s="150"/>
      <c r="D43" s="114"/>
      <c r="E43" s="114"/>
      <c r="F43" s="114"/>
      <c r="G43" s="114"/>
      <c r="H43" s="108"/>
    </row>
    <row r="44" spans="1:8" s="49" customFormat="1" ht="15.75" customHeight="1">
      <c r="A44" s="149"/>
      <c r="B44" s="113" t="s">
        <v>43</v>
      </c>
      <c r="C44" s="114"/>
      <c r="D44" s="114"/>
      <c r="E44" s="114"/>
      <c r="F44" s="114"/>
      <c r="G44" s="114"/>
      <c r="H44" s="108"/>
    </row>
    <row r="45" spans="1:8" s="49" customFormat="1" ht="67.5" customHeight="1">
      <c r="A45" s="149" t="s">
        <v>155</v>
      </c>
      <c r="B45" s="107" t="s">
        <v>284</v>
      </c>
      <c r="C45" s="138" t="s">
        <v>285</v>
      </c>
      <c r="D45" s="151">
        <v>2</v>
      </c>
      <c r="E45" s="115" t="s">
        <v>47</v>
      </c>
      <c r="F45" s="115" t="s">
        <v>56</v>
      </c>
      <c r="G45" s="108" t="s">
        <v>38</v>
      </c>
      <c r="H45" s="116">
        <v>26016</v>
      </c>
    </row>
    <row r="46" spans="1:8" s="49" customFormat="1" ht="44.25" customHeight="1">
      <c r="A46" s="149" t="s">
        <v>156</v>
      </c>
      <c r="B46" s="107" t="s">
        <v>286</v>
      </c>
      <c r="C46" s="138" t="s">
        <v>287</v>
      </c>
      <c r="D46" s="143">
        <v>2</v>
      </c>
      <c r="E46" s="115" t="s">
        <v>47</v>
      </c>
      <c r="F46" s="115" t="s">
        <v>56</v>
      </c>
      <c r="G46" s="108" t="s">
        <v>38</v>
      </c>
      <c r="H46" s="116">
        <v>3856</v>
      </c>
    </row>
    <row r="47" spans="1:8" s="49" customFormat="1" ht="30.75" customHeight="1">
      <c r="A47" s="149" t="s">
        <v>157</v>
      </c>
      <c r="B47" s="107" t="s">
        <v>288</v>
      </c>
      <c r="C47" s="138" t="s">
        <v>289</v>
      </c>
      <c r="D47" s="151">
        <v>2</v>
      </c>
      <c r="E47" s="115" t="s">
        <v>47</v>
      </c>
      <c r="F47" s="115" t="s">
        <v>56</v>
      </c>
      <c r="G47" s="108" t="s">
        <v>38</v>
      </c>
      <c r="H47" s="116">
        <v>1069</v>
      </c>
    </row>
    <row r="48" spans="1:8" s="49" customFormat="1" ht="27.75" customHeight="1">
      <c r="A48" s="149" t="s">
        <v>158</v>
      </c>
      <c r="B48" s="138" t="s">
        <v>290</v>
      </c>
      <c r="C48" s="152" t="s">
        <v>291</v>
      </c>
      <c r="D48" s="151">
        <v>2</v>
      </c>
      <c r="E48" s="115" t="s">
        <v>47</v>
      </c>
      <c r="F48" s="115" t="s">
        <v>56</v>
      </c>
      <c r="G48" s="108" t="s">
        <v>38</v>
      </c>
      <c r="H48" s="116">
        <v>14547</v>
      </c>
    </row>
    <row r="49" spans="1:8" s="49" customFormat="1">
      <c r="A49" s="137"/>
      <c r="B49" s="153" t="s">
        <v>69</v>
      </c>
      <c r="C49" s="113"/>
      <c r="D49" s="154"/>
      <c r="E49" s="113"/>
      <c r="F49" s="113"/>
      <c r="G49" s="113"/>
      <c r="H49" s="105">
        <f>SUM(H45:H48)</f>
        <v>45488</v>
      </c>
    </row>
    <row r="50" spans="1:8" s="49" customFormat="1" ht="15.75" customHeight="1">
      <c r="A50" s="149"/>
      <c r="B50" s="155" t="s">
        <v>125</v>
      </c>
      <c r="C50" s="156"/>
      <c r="D50" s="140"/>
      <c r="E50" s="157"/>
      <c r="F50" s="157"/>
      <c r="G50" s="141"/>
      <c r="H50" s="116"/>
    </row>
    <row r="51" spans="1:8" s="49" customFormat="1" ht="51.75" customHeight="1">
      <c r="A51" s="158" t="s">
        <v>195</v>
      </c>
      <c r="B51" s="112" t="s">
        <v>292</v>
      </c>
      <c r="C51" s="159" t="s">
        <v>96</v>
      </c>
      <c r="D51" s="118">
        <v>1</v>
      </c>
      <c r="E51" s="119" t="s">
        <v>44</v>
      </c>
      <c r="F51" s="119" t="s">
        <v>37</v>
      </c>
      <c r="G51" s="118" t="s">
        <v>38</v>
      </c>
      <c r="H51" s="120">
        <v>1140</v>
      </c>
    </row>
    <row r="52" spans="1:8" ht="31.5" customHeight="1">
      <c r="A52" s="158" t="s">
        <v>196</v>
      </c>
      <c r="B52" s="112" t="s">
        <v>293</v>
      </c>
      <c r="C52" s="130" t="s">
        <v>67</v>
      </c>
      <c r="D52" s="118">
        <v>1</v>
      </c>
      <c r="E52" s="119" t="s">
        <v>44</v>
      </c>
      <c r="F52" s="119" t="s">
        <v>37</v>
      </c>
      <c r="G52" s="118" t="s">
        <v>38</v>
      </c>
      <c r="H52" s="121">
        <v>180</v>
      </c>
    </row>
    <row r="53" spans="1:8" ht="31.5" customHeight="1">
      <c r="A53" s="158" t="s">
        <v>197</v>
      </c>
      <c r="B53" s="139" t="s">
        <v>294</v>
      </c>
      <c r="C53" s="160" t="s">
        <v>97</v>
      </c>
      <c r="D53" s="118">
        <v>1</v>
      </c>
      <c r="E53" s="119" t="s">
        <v>44</v>
      </c>
      <c r="F53" s="119" t="s">
        <v>37</v>
      </c>
      <c r="G53" s="118" t="s">
        <v>38</v>
      </c>
      <c r="H53" s="121">
        <v>60</v>
      </c>
    </row>
    <row r="54" spans="1:8" ht="54.75" customHeight="1">
      <c r="A54" s="158" t="s">
        <v>198</v>
      </c>
      <c r="B54" s="130" t="s">
        <v>71</v>
      </c>
      <c r="C54" s="161" t="s">
        <v>136</v>
      </c>
      <c r="D54" s="162">
        <v>1</v>
      </c>
      <c r="E54" s="119" t="s">
        <v>44</v>
      </c>
      <c r="F54" s="119" t="s">
        <v>37</v>
      </c>
      <c r="G54" s="118" t="s">
        <v>38</v>
      </c>
      <c r="H54" s="121">
        <v>502</v>
      </c>
    </row>
    <row r="55" spans="1:8" s="44" customFormat="1" ht="52.5" customHeight="1">
      <c r="A55" s="158" t="s">
        <v>199</v>
      </c>
      <c r="B55" s="112" t="s">
        <v>73</v>
      </c>
      <c r="C55" s="161" t="s">
        <v>98</v>
      </c>
      <c r="D55" s="162">
        <v>1</v>
      </c>
      <c r="E55" s="119" t="s">
        <v>44</v>
      </c>
      <c r="F55" s="119" t="s">
        <v>37</v>
      </c>
      <c r="G55" s="118" t="s">
        <v>38</v>
      </c>
      <c r="H55" s="121">
        <v>149</v>
      </c>
    </row>
    <row r="56" spans="1:8" s="44" customFormat="1" ht="50.25" customHeight="1">
      <c r="A56" s="158" t="s">
        <v>246</v>
      </c>
      <c r="B56" s="130" t="s">
        <v>74</v>
      </c>
      <c r="C56" s="161" t="s">
        <v>99</v>
      </c>
      <c r="D56" s="162">
        <v>1</v>
      </c>
      <c r="E56" s="119" t="s">
        <v>44</v>
      </c>
      <c r="F56" s="119" t="s">
        <v>37</v>
      </c>
      <c r="G56" s="118" t="s">
        <v>38</v>
      </c>
      <c r="H56" s="121">
        <v>223</v>
      </c>
    </row>
    <row r="57" spans="1:8" s="44" customFormat="1" ht="54.75" customHeight="1">
      <c r="A57" s="158" t="s">
        <v>247</v>
      </c>
      <c r="B57" s="112" t="s">
        <v>100</v>
      </c>
      <c r="C57" s="161" t="s">
        <v>101</v>
      </c>
      <c r="D57" s="162">
        <v>1</v>
      </c>
      <c r="E57" s="119" t="s">
        <v>44</v>
      </c>
      <c r="F57" s="119" t="s">
        <v>37</v>
      </c>
      <c r="G57" s="118" t="s">
        <v>38</v>
      </c>
      <c r="H57" s="121">
        <v>233</v>
      </c>
    </row>
    <row r="58" spans="1:8" s="44" customFormat="1" ht="27.75" customHeight="1">
      <c r="A58" s="158" t="s">
        <v>248</v>
      </c>
      <c r="B58" s="130" t="s">
        <v>89</v>
      </c>
      <c r="C58" s="161" t="s">
        <v>97</v>
      </c>
      <c r="D58" s="162">
        <v>1</v>
      </c>
      <c r="E58" s="119" t="s">
        <v>44</v>
      </c>
      <c r="F58" s="119" t="s">
        <v>37</v>
      </c>
      <c r="G58" s="118" t="s">
        <v>38</v>
      </c>
      <c r="H58" s="121">
        <v>46</v>
      </c>
    </row>
    <row r="59" spans="1:8" s="44" customFormat="1" ht="30.75" customHeight="1">
      <c r="A59" s="158" t="s">
        <v>249</v>
      </c>
      <c r="B59" s="130" t="s">
        <v>90</v>
      </c>
      <c r="C59" s="163" t="s">
        <v>137</v>
      </c>
      <c r="D59" s="162">
        <v>1</v>
      </c>
      <c r="E59" s="119" t="s">
        <v>44</v>
      </c>
      <c r="F59" s="119" t="s">
        <v>58</v>
      </c>
      <c r="G59" s="118" t="s">
        <v>38</v>
      </c>
      <c r="H59" s="120">
        <v>6924</v>
      </c>
    </row>
    <row r="60" spans="1:8" s="44" customFormat="1">
      <c r="A60" s="158"/>
      <c r="B60" s="164" t="s">
        <v>250</v>
      </c>
      <c r="C60" s="165"/>
      <c r="D60" s="166"/>
      <c r="E60" s="167"/>
      <c r="F60" s="167"/>
      <c r="G60" s="166"/>
      <c r="H60" s="122">
        <f>SUM(H51:H59)</f>
        <v>9457</v>
      </c>
    </row>
    <row r="61" spans="1:8">
      <c r="A61" s="158"/>
      <c r="B61" s="123" t="s">
        <v>251</v>
      </c>
      <c r="C61" s="168"/>
      <c r="D61" s="104"/>
      <c r="E61" s="109"/>
      <c r="F61" s="109"/>
      <c r="G61" s="124"/>
      <c r="H61" s="109"/>
    </row>
    <row r="62" spans="1:8" ht="42" customHeight="1">
      <c r="A62" s="158" t="s">
        <v>11</v>
      </c>
      <c r="B62" s="125" t="s">
        <v>295</v>
      </c>
      <c r="C62" s="112" t="s">
        <v>296</v>
      </c>
      <c r="D62" s="104">
        <v>2</v>
      </c>
      <c r="E62" s="109" t="s">
        <v>37</v>
      </c>
      <c r="F62" s="109" t="s">
        <v>53</v>
      </c>
      <c r="G62" s="118" t="s">
        <v>38</v>
      </c>
      <c r="H62" s="109">
        <v>1963</v>
      </c>
    </row>
    <row r="63" spans="1:8" ht="27">
      <c r="A63" s="158" t="s">
        <v>12</v>
      </c>
      <c r="B63" s="125" t="s">
        <v>252</v>
      </c>
      <c r="C63" s="169" t="s">
        <v>103</v>
      </c>
      <c r="D63" s="126">
        <v>2</v>
      </c>
      <c r="E63" s="109" t="s">
        <v>37</v>
      </c>
      <c r="F63" s="109" t="s">
        <v>53</v>
      </c>
      <c r="G63" s="166" t="s">
        <v>38</v>
      </c>
      <c r="H63" s="109">
        <v>2122</v>
      </c>
    </row>
    <row r="64" spans="1:8">
      <c r="A64" s="137"/>
      <c r="B64" s="113" t="s">
        <v>253</v>
      </c>
      <c r="C64" s="170"/>
      <c r="D64" s="170"/>
      <c r="E64" s="170"/>
      <c r="F64" s="170"/>
      <c r="G64" s="154"/>
      <c r="H64" s="127">
        <f>SUM(H62:H63)</f>
        <v>4085</v>
      </c>
    </row>
    <row r="65" spans="1:8">
      <c r="A65" s="171"/>
      <c r="B65" s="172" t="s">
        <v>128</v>
      </c>
      <c r="C65" s="112"/>
      <c r="D65" s="104"/>
      <c r="E65" s="109"/>
      <c r="F65" s="109"/>
      <c r="G65" s="124"/>
      <c r="H65" s="109"/>
    </row>
    <row r="66" spans="1:8" ht="26.4">
      <c r="A66" s="171" t="s">
        <v>201</v>
      </c>
      <c r="B66" s="107" t="s">
        <v>54</v>
      </c>
      <c r="C66" s="107" t="s">
        <v>138</v>
      </c>
      <c r="D66" s="118">
        <v>1</v>
      </c>
      <c r="E66" s="118" t="s">
        <v>51</v>
      </c>
      <c r="F66" s="118" t="s">
        <v>37</v>
      </c>
      <c r="G66" s="118" t="s">
        <v>38</v>
      </c>
      <c r="H66" s="120">
        <v>21467</v>
      </c>
    </row>
    <row r="67" spans="1:8" ht="31.5" customHeight="1">
      <c r="A67" s="171" t="s">
        <v>202</v>
      </c>
      <c r="B67" s="107" t="s">
        <v>297</v>
      </c>
      <c r="C67" s="107" t="s">
        <v>92</v>
      </c>
      <c r="D67" s="118">
        <v>1</v>
      </c>
      <c r="E67" s="118" t="s">
        <v>47</v>
      </c>
      <c r="F67" s="118" t="s">
        <v>55</v>
      </c>
      <c r="G67" s="118" t="s">
        <v>38</v>
      </c>
      <c r="H67" s="120">
        <v>8251</v>
      </c>
    </row>
    <row r="68" spans="1:8" ht="28.5" customHeight="1">
      <c r="A68" s="171" t="s">
        <v>203</v>
      </c>
      <c r="B68" s="112" t="s">
        <v>298</v>
      </c>
      <c r="C68" s="173" t="s">
        <v>135</v>
      </c>
      <c r="D68" s="118">
        <v>2</v>
      </c>
      <c r="E68" s="118" t="s">
        <v>47</v>
      </c>
      <c r="F68" s="118" t="s">
        <v>55</v>
      </c>
      <c r="G68" s="118" t="s">
        <v>38</v>
      </c>
      <c r="H68" s="120">
        <v>3578</v>
      </c>
    </row>
    <row r="69" spans="1:8" ht="23.25" customHeight="1">
      <c r="A69" s="171" t="s">
        <v>204</v>
      </c>
      <c r="B69" s="112" t="s">
        <v>200</v>
      </c>
      <c r="C69" s="152" t="s">
        <v>299</v>
      </c>
      <c r="D69" s="162">
        <v>1</v>
      </c>
      <c r="E69" s="118" t="s">
        <v>51</v>
      </c>
      <c r="F69" s="118" t="s">
        <v>37</v>
      </c>
      <c r="G69" s="118" t="s">
        <v>38</v>
      </c>
      <c r="H69" s="120">
        <v>14960</v>
      </c>
    </row>
    <row r="70" spans="1:8" ht="30" customHeight="1">
      <c r="A70" s="171" t="s">
        <v>205</v>
      </c>
      <c r="B70" s="112" t="s">
        <v>300</v>
      </c>
      <c r="C70" s="152" t="s">
        <v>94</v>
      </c>
      <c r="D70" s="162">
        <v>2</v>
      </c>
      <c r="E70" s="118" t="s">
        <v>37</v>
      </c>
      <c r="F70" s="118" t="s">
        <v>45</v>
      </c>
      <c r="G70" s="118" t="s">
        <v>38</v>
      </c>
      <c r="H70" s="120">
        <v>7258</v>
      </c>
    </row>
    <row r="71" spans="1:8" ht="26.25" customHeight="1">
      <c r="A71" s="171" t="s">
        <v>206</v>
      </c>
      <c r="B71" s="112" t="s">
        <v>301</v>
      </c>
      <c r="C71" s="152" t="s">
        <v>92</v>
      </c>
      <c r="D71" s="162">
        <v>1</v>
      </c>
      <c r="E71" s="118" t="s">
        <v>51</v>
      </c>
      <c r="F71" s="118" t="s">
        <v>37</v>
      </c>
      <c r="G71" s="118" t="s">
        <v>38</v>
      </c>
      <c r="H71" s="120">
        <v>21332</v>
      </c>
    </row>
    <row r="72" spans="1:8" s="47" customFormat="1" ht="26.25" customHeight="1">
      <c r="A72" s="171" t="s">
        <v>207</v>
      </c>
      <c r="B72" s="112" t="s">
        <v>257</v>
      </c>
      <c r="C72" s="152" t="s">
        <v>302</v>
      </c>
      <c r="D72" s="162">
        <v>2</v>
      </c>
      <c r="E72" s="118" t="s">
        <v>45</v>
      </c>
      <c r="F72" s="118" t="s">
        <v>56</v>
      </c>
      <c r="G72" s="118" t="s">
        <v>38</v>
      </c>
      <c r="H72" s="120">
        <v>2320</v>
      </c>
    </row>
    <row r="73" spans="1:8" s="47" customFormat="1" ht="12.75" customHeight="1">
      <c r="A73" s="171"/>
      <c r="B73" s="174" t="s">
        <v>139</v>
      </c>
      <c r="C73" s="174"/>
      <c r="D73" s="166"/>
      <c r="E73" s="166"/>
      <c r="F73" s="166"/>
      <c r="G73" s="166"/>
      <c r="H73" s="129">
        <f>SUM(H66:H72)</f>
        <v>79166</v>
      </c>
    </row>
    <row r="74" spans="1:8">
      <c r="A74" s="171"/>
      <c r="B74" s="172" t="s">
        <v>134</v>
      </c>
      <c r="C74" s="175"/>
      <c r="D74" s="176"/>
      <c r="E74" s="177"/>
      <c r="F74" s="177"/>
      <c r="G74" s="178"/>
      <c r="H74" s="109"/>
    </row>
    <row r="75" spans="1:8" ht="26.4">
      <c r="A75" s="171"/>
      <c r="B75" s="179" t="s">
        <v>31</v>
      </c>
      <c r="C75" s="175" t="s">
        <v>79</v>
      </c>
      <c r="D75" s="180">
        <v>1</v>
      </c>
      <c r="E75" s="180" t="s">
        <v>44</v>
      </c>
      <c r="F75" s="180" t="s">
        <v>37</v>
      </c>
      <c r="G75" s="118" t="s">
        <v>38</v>
      </c>
      <c r="H75" s="105">
        <v>887</v>
      </c>
    </row>
    <row r="76" spans="1:8" s="47" customFormat="1">
      <c r="A76" s="181"/>
      <c r="B76" s="113" t="s">
        <v>189</v>
      </c>
      <c r="C76" s="132"/>
      <c r="D76" s="180"/>
      <c r="E76" s="180"/>
      <c r="F76" s="180"/>
      <c r="G76" s="118"/>
      <c r="H76" s="105">
        <v>887</v>
      </c>
    </row>
    <row r="77" spans="1:8">
      <c r="A77" s="181"/>
      <c r="B77" s="113" t="s">
        <v>95</v>
      </c>
      <c r="C77" s="132"/>
      <c r="D77" s="133"/>
      <c r="E77" s="133"/>
      <c r="F77" s="133"/>
      <c r="G77" s="114"/>
      <c r="H77" s="105">
        <f>H20+H42+H49+H60+H64+H73+H76</f>
        <v>1094175</v>
      </c>
    </row>
    <row r="78" spans="1:8" s="47" customFormat="1">
      <c r="A78" s="39"/>
      <c r="B78" s="39"/>
      <c r="C78" s="40"/>
      <c r="D78" s="39"/>
      <c r="E78" s="40"/>
      <c r="F78" s="50"/>
      <c r="G78" s="39"/>
      <c r="H78" s="45"/>
    </row>
    <row r="79" spans="1:8">
      <c r="A79" s="623" t="s">
        <v>360</v>
      </c>
      <c r="B79" s="623"/>
      <c r="C79" s="623"/>
      <c r="D79" s="623"/>
      <c r="E79" s="623"/>
      <c r="F79" s="623"/>
      <c r="G79" s="623"/>
      <c r="H79" s="623"/>
    </row>
    <row r="80" spans="1:8">
      <c r="B80" s="45"/>
      <c r="C80" s="37"/>
    </row>
    <row r="81" spans="1:8">
      <c r="A81" s="623" t="s">
        <v>356</v>
      </c>
      <c r="B81" s="623"/>
      <c r="C81" s="623"/>
      <c r="D81" s="623"/>
      <c r="E81" s="623"/>
      <c r="F81" s="623"/>
      <c r="G81" s="623"/>
      <c r="H81" s="623"/>
    </row>
  </sheetData>
  <mergeCells count="13">
    <mergeCell ref="F1:H1"/>
    <mergeCell ref="A79:H79"/>
    <mergeCell ref="A81:H81"/>
    <mergeCell ref="F2:H2"/>
    <mergeCell ref="F3:H3"/>
    <mergeCell ref="F4:H4"/>
    <mergeCell ref="F5:H5"/>
    <mergeCell ref="G8:H8"/>
    <mergeCell ref="B11:G11"/>
    <mergeCell ref="C13:C17"/>
    <mergeCell ref="A7:H7"/>
    <mergeCell ref="C22:C26"/>
    <mergeCell ref="C27:C41"/>
  </mergeCells>
  <pageMargins left="0" right="0" top="0.23" bottom="0.32" header="0.23" footer="0.31"/>
  <pageSetup paperSize="9" scale="84" orientation="landscape" horizontalDpi="180" verticalDpi="180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H82"/>
  <sheetViews>
    <sheetView topLeftCell="B49" zoomScale="90" zoomScaleNormal="90" workbookViewId="0">
      <selection activeCell="C25" sqref="C25:C43"/>
    </sheetView>
  </sheetViews>
  <sheetFormatPr defaultRowHeight="14.4"/>
  <cols>
    <col min="1" max="1" width="5.109375" customWidth="1"/>
    <col min="2" max="2" width="54.109375" customWidth="1"/>
    <col min="3" max="3" width="35.6640625" customWidth="1"/>
    <col min="4" max="4" width="5.6640625" customWidth="1"/>
    <col min="5" max="5" width="14.109375" style="3" customWidth="1"/>
    <col min="6" max="6" width="15" style="2" customWidth="1"/>
    <col min="7" max="7" width="15.6640625" customWidth="1"/>
    <col min="8" max="8" width="13.44140625" customWidth="1"/>
  </cols>
  <sheetData>
    <row r="1" spans="1:8" s="9" customFormat="1" ht="15.6">
      <c r="A1" s="5"/>
      <c r="B1" s="195" t="s">
        <v>20</v>
      </c>
      <c r="C1" s="7"/>
      <c r="D1" s="8"/>
      <c r="E1" s="5"/>
      <c r="F1" s="622" t="s">
        <v>13</v>
      </c>
      <c r="G1" s="622"/>
      <c r="H1" s="622"/>
    </row>
    <row r="2" spans="1:8" s="9" customFormat="1" ht="15.6">
      <c r="A2" s="5"/>
      <c r="B2" s="195" t="s">
        <v>21</v>
      </c>
      <c r="C2" s="7"/>
      <c r="D2" s="8"/>
      <c r="E2" s="5"/>
      <c r="F2" s="622" t="s">
        <v>21</v>
      </c>
      <c r="G2" s="622"/>
      <c r="H2" s="622"/>
    </row>
    <row r="3" spans="1:8" s="9" customFormat="1" ht="15.6">
      <c r="A3" s="5"/>
      <c r="B3" s="195" t="s">
        <v>22</v>
      </c>
      <c r="C3" s="7"/>
      <c r="D3" s="8"/>
      <c r="E3" s="5"/>
      <c r="F3" s="622" t="s">
        <v>34</v>
      </c>
      <c r="G3" s="622"/>
      <c r="H3" s="622"/>
    </row>
    <row r="4" spans="1:8" s="9" customFormat="1" ht="15.6">
      <c r="A4" s="5"/>
      <c r="B4" s="195" t="s">
        <v>355</v>
      </c>
      <c r="C4" s="7"/>
      <c r="D4" s="8"/>
      <c r="E4" s="5"/>
      <c r="F4" s="622" t="s">
        <v>33</v>
      </c>
      <c r="G4" s="622"/>
      <c r="H4" s="622"/>
    </row>
    <row r="5" spans="1:8" s="9" customFormat="1" ht="15.6">
      <c r="A5" s="5"/>
      <c r="B5" s="195" t="s">
        <v>14</v>
      </c>
      <c r="C5" s="7"/>
      <c r="D5" s="8"/>
      <c r="E5" s="5"/>
      <c r="F5" s="622" t="s">
        <v>14</v>
      </c>
      <c r="G5" s="622"/>
      <c r="H5" s="622"/>
    </row>
    <row r="6" spans="1:8" ht="15.6">
      <c r="A6" s="1"/>
      <c r="B6" s="10"/>
      <c r="C6" s="11"/>
      <c r="D6" s="12"/>
      <c r="E6" s="1"/>
      <c r="F6" s="10"/>
      <c r="G6" s="10"/>
      <c r="H6" s="1"/>
    </row>
    <row r="7" spans="1:8" ht="15.6">
      <c r="A7" s="622" t="s">
        <v>354</v>
      </c>
      <c r="B7" s="622"/>
      <c r="C7" s="622"/>
      <c r="D7" s="622"/>
      <c r="E7" s="622"/>
      <c r="F7" s="622"/>
      <c r="G7" s="622"/>
      <c r="H7" s="622"/>
    </row>
    <row r="8" spans="1:8">
      <c r="A8" s="94"/>
      <c r="B8" s="95"/>
      <c r="C8" s="96"/>
      <c r="D8" s="97"/>
      <c r="E8" s="98"/>
      <c r="F8" s="99"/>
      <c r="G8" s="624" t="s">
        <v>270</v>
      </c>
      <c r="H8" s="624"/>
    </row>
    <row r="9" spans="1:8" ht="93">
      <c r="A9" s="100" t="s">
        <v>25</v>
      </c>
      <c r="B9" s="101" t="s">
        <v>84</v>
      </c>
      <c r="C9" s="101" t="s">
        <v>85</v>
      </c>
      <c r="D9" s="102" t="s">
        <v>2</v>
      </c>
      <c r="E9" s="101" t="s">
        <v>81</v>
      </c>
      <c r="F9" s="101" t="s">
        <v>82</v>
      </c>
      <c r="G9" s="101" t="s">
        <v>26</v>
      </c>
      <c r="H9" s="101" t="s">
        <v>83</v>
      </c>
    </row>
    <row r="10" spans="1:8" ht="15" customHeight="1">
      <c r="A10" s="103">
        <v>1</v>
      </c>
      <c r="B10" s="104">
        <v>2</v>
      </c>
      <c r="C10" s="104">
        <v>3</v>
      </c>
      <c r="D10" s="104">
        <v>4</v>
      </c>
      <c r="E10" s="104">
        <v>5</v>
      </c>
      <c r="F10" s="104">
        <v>6</v>
      </c>
      <c r="G10" s="104">
        <v>7</v>
      </c>
      <c r="H10" s="104">
        <v>8</v>
      </c>
    </row>
    <row r="11" spans="1:8" ht="21.75" customHeight="1">
      <c r="A11" s="103"/>
      <c r="B11" s="626" t="s">
        <v>41</v>
      </c>
      <c r="C11" s="627"/>
      <c r="D11" s="627"/>
      <c r="E11" s="627"/>
      <c r="F11" s="627"/>
      <c r="G11" s="628"/>
      <c r="H11" s="105">
        <f>H18+H44+H49+H58+H62+H73+H76</f>
        <v>1162451</v>
      </c>
    </row>
    <row r="12" spans="1:8" ht="15" customHeight="1">
      <c r="A12" s="103"/>
      <c r="B12" s="106" t="s">
        <v>220</v>
      </c>
      <c r="C12" s="106"/>
      <c r="D12" s="106"/>
      <c r="E12" s="106"/>
      <c r="F12" s="106"/>
      <c r="G12" s="106"/>
      <c r="H12" s="105"/>
    </row>
    <row r="13" spans="1:8" ht="26.25" customHeight="1">
      <c r="A13" s="103" t="s">
        <v>3</v>
      </c>
      <c r="B13" s="138" t="s">
        <v>392</v>
      </c>
      <c r="C13" s="629" t="s">
        <v>36</v>
      </c>
      <c r="D13" s="104">
        <v>1</v>
      </c>
      <c r="E13" s="104" t="s">
        <v>37</v>
      </c>
      <c r="F13" s="104" t="s">
        <v>46</v>
      </c>
      <c r="G13" s="108" t="s">
        <v>38</v>
      </c>
      <c r="H13" s="120">
        <v>153520</v>
      </c>
    </row>
    <row r="14" spans="1:8" ht="26.25" customHeight="1">
      <c r="A14" s="103" t="s">
        <v>4</v>
      </c>
      <c r="B14" s="152" t="s">
        <v>303</v>
      </c>
      <c r="C14" s="629"/>
      <c r="D14" s="104">
        <v>1</v>
      </c>
      <c r="E14" s="104" t="s">
        <v>37</v>
      </c>
      <c r="F14" s="104" t="s">
        <v>46</v>
      </c>
      <c r="G14" s="108" t="s">
        <v>38</v>
      </c>
      <c r="H14" s="120">
        <v>97910</v>
      </c>
    </row>
    <row r="15" spans="1:8" ht="40.200000000000003">
      <c r="A15" s="103" t="s">
        <v>5</v>
      </c>
      <c r="B15" s="138" t="s">
        <v>393</v>
      </c>
      <c r="C15" s="629"/>
      <c r="D15" s="104">
        <v>1</v>
      </c>
      <c r="E15" s="104" t="s">
        <v>37</v>
      </c>
      <c r="F15" s="104" t="s">
        <v>46</v>
      </c>
      <c r="G15" s="108" t="s">
        <v>38</v>
      </c>
      <c r="H15" s="120">
        <v>28392</v>
      </c>
    </row>
    <row r="16" spans="1:8" ht="26.25" customHeight="1">
      <c r="A16" s="103" t="s">
        <v>6</v>
      </c>
      <c r="B16" s="138" t="s">
        <v>394</v>
      </c>
      <c r="C16" s="629"/>
      <c r="D16" s="140">
        <v>1</v>
      </c>
      <c r="E16" s="140" t="s">
        <v>37</v>
      </c>
      <c r="F16" s="140" t="s">
        <v>46</v>
      </c>
      <c r="G16" s="141" t="s">
        <v>38</v>
      </c>
      <c r="H16" s="120">
        <v>165220</v>
      </c>
    </row>
    <row r="17" spans="1:8" ht="27">
      <c r="A17" s="103" t="s">
        <v>7</v>
      </c>
      <c r="B17" s="138" t="s">
        <v>395</v>
      </c>
      <c r="C17" s="629"/>
      <c r="D17" s="140">
        <v>1</v>
      </c>
      <c r="E17" s="104" t="s">
        <v>37</v>
      </c>
      <c r="F17" s="104" t="s">
        <v>46</v>
      </c>
      <c r="G17" s="141" t="s">
        <v>38</v>
      </c>
      <c r="H17" s="120">
        <v>129005</v>
      </c>
    </row>
    <row r="18" spans="1:8" s="4" customFormat="1">
      <c r="A18" s="103"/>
      <c r="B18" s="144" t="s">
        <v>87</v>
      </c>
      <c r="C18" s="101"/>
      <c r="D18" s="101"/>
      <c r="E18" s="101"/>
      <c r="F18" s="101"/>
      <c r="G18" s="111"/>
      <c r="H18" s="145">
        <f>SUM(H13:H17)</f>
        <v>574047</v>
      </c>
    </row>
    <row r="19" spans="1:8" s="4" customFormat="1" ht="39.6">
      <c r="A19" s="103"/>
      <c r="B19" s="110" t="s">
        <v>423</v>
      </c>
      <c r="C19" s="104"/>
      <c r="D19" s="140"/>
      <c r="E19" s="140"/>
      <c r="F19" s="140"/>
      <c r="G19" s="141"/>
      <c r="H19" s="109"/>
    </row>
    <row r="20" spans="1:8" s="4" customFormat="1" ht="24.75" customHeight="1">
      <c r="A20" s="103" t="s">
        <v>186</v>
      </c>
      <c r="B20" s="107" t="s">
        <v>424</v>
      </c>
      <c r="C20" s="619" t="s">
        <v>36</v>
      </c>
      <c r="D20" s="140">
        <v>1</v>
      </c>
      <c r="E20" s="104" t="s">
        <v>304</v>
      </c>
      <c r="F20" s="104" t="s">
        <v>305</v>
      </c>
      <c r="G20" s="141" t="s">
        <v>38</v>
      </c>
      <c r="H20" s="182">
        <v>1035</v>
      </c>
    </row>
    <row r="21" spans="1:8" s="4" customFormat="1" ht="25.5" customHeight="1">
      <c r="A21" s="103" t="s">
        <v>187</v>
      </c>
      <c r="B21" s="107" t="s">
        <v>425</v>
      </c>
      <c r="C21" s="619"/>
      <c r="D21" s="104">
        <v>1</v>
      </c>
      <c r="E21" s="104" t="s">
        <v>304</v>
      </c>
      <c r="F21" s="104" t="s">
        <v>305</v>
      </c>
      <c r="G21" s="141" t="s">
        <v>38</v>
      </c>
      <c r="H21" s="182">
        <v>2112</v>
      </c>
    </row>
    <row r="22" spans="1:8" s="4" customFormat="1" ht="27.75" customHeight="1">
      <c r="A22" s="103" t="s">
        <v>221</v>
      </c>
      <c r="B22" s="138" t="s">
        <v>426</v>
      </c>
      <c r="C22" s="619"/>
      <c r="D22" s="104">
        <v>1</v>
      </c>
      <c r="E22" s="104" t="s">
        <v>304</v>
      </c>
      <c r="F22" s="104" t="s">
        <v>305</v>
      </c>
      <c r="G22" s="141" t="s">
        <v>38</v>
      </c>
      <c r="H22" s="182">
        <v>59000</v>
      </c>
    </row>
    <row r="23" spans="1:8" s="4" customFormat="1" ht="30" customHeight="1">
      <c r="A23" s="103" t="s">
        <v>222</v>
      </c>
      <c r="B23" s="107" t="s">
        <v>427</v>
      </c>
      <c r="C23" s="619"/>
      <c r="D23" s="104">
        <v>1</v>
      </c>
      <c r="E23" s="104" t="s">
        <v>304</v>
      </c>
      <c r="F23" s="104" t="s">
        <v>305</v>
      </c>
      <c r="G23" s="108" t="s">
        <v>38</v>
      </c>
      <c r="H23" s="182">
        <v>17704</v>
      </c>
    </row>
    <row r="24" spans="1:8" s="4" customFormat="1" ht="26.4">
      <c r="A24" s="103" t="s">
        <v>223</v>
      </c>
      <c r="B24" s="138" t="s">
        <v>428</v>
      </c>
      <c r="C24" s="619"/>
      <c r="D24" s="104">
        <v>1</v>
      </c>
      <c r="E24" s="104" t="s">
        <v>304</v>
      </c>
      <c r="F24" s="104" t="s">
        <v>305</v>
      </c>
      <c r="G24" s="108" t="s">
        <v>38</v>
      </c>
      <c r="H24" s="182">
        <v>10095</v>
      </c>
    </row>
    <row r="25" spans="1:8" s="4" customFormat="1" ht="24.75" customHeight="1">
      <c r="A25" s="103" t="s">
        <v>224</v>
      </c>
      <c r="B25" s="138" t="s">
        <v>429</v>
      </c>
      <c r="C25" s="619" t="s">
        <v>36</v>
      </c>
      <c r="D25" s="104">
        <v>1</v>
      </c>
      <c r="E25" s="104" t="s">
        <v>304</v>
      </c>
      <c r="F25" s="104" t="s">
        <v>305</v>
      </c>
      <c r="G25" s="108" t="s">
        <v>38</v>
      </c>
      <c r="H25" s="182">
        <v>23735</v>
      </c>
    </row>
    <row r="26" spans="1:8" s="4" customFormat="1" ht="24.75" customHeight="1">
      <c r="A26" s="103" t="s">
        <v>225</v>
      </c>
      <c r="B26" s="138" t="s">
        <v>430</v>
      </c>
      <c r="C26" s="619"/>
      <c r="D26" s="104">
        <v>1</v>
      </c>
      <c r="E26" s="104" t="s">
        <v>304</v>
      </c>
      <c r="F26" s="104" t="s">
        <v>305</v>
      </c>
      <c r="G26" s="108" t="s">
        <v>38</v>
      </c>
      <c r="H26" s="182">
        <v>88743</v>
      </c>
    </row>
    <row r="27" spans="1:8" s="4" customFormat="1" ht="30.75" customHeight="1">
      <c r="A27" s="103" t="s">
        <v>226</v>
      </c>
      <c r="B27" s="138" t="s">
        <v>431</v>
      </c>
      <c r="C27" s="619"/>
      <c r="D27" s="104">
        <v>1</v>
      </c>
      <c r="E27" s="104" t="s">
        <v>304</v>
      </c>
      <c r="F27" s="104" t="s">
        <v>305</v>
      </c>
      <c r="G27" s="108" t="s">
        <v>38</v>
      </c>
      <c r="H27" s="182">
        <v>24577</v>
      </c>
    </row>
    <row r="28" spans="1:8" s="4" customFormat="1" ht="40.5" customHeight="1">
      <c r="A28" s="103" t="s">
        <v>227</v>
      </c>
      <c r="B28" s="138" t="s">
        <v>432</v>
      </c>
      <c r="C28" s="619"/>
      <c r="D28" s="104">
        <v>1</v>
      </c>
      <c r="E28" s="104" t="s">
        <v>304</v>
      </c>
      <c r="F28" s="104" t="s">
        <v>305</v>
      </c>
      <c r="G28" s="108" t="s">
        <v>38</v>
      </c>
      <c r="H28" s="182">
        <v>56017</v>
      </c>
    </row>
    <row r="29" spans="1:8" s="4" customFormat="1" ht="26.4">
      <c r="A29" s="103" t="s">
        <v>228</v>
      </c>
      <c r="B29" s="138" t="s">
        <v>433</v>
      </c>
      <c r="C29" s="619"/>
      <c r="D29" s="104">
        <v>1</v>
      </c>
      <c r="E29" s="104" t="s">
        <v>304</v>
      </c>
      <c r="F29" s="104" t="s">
        <v>305</v>
      </c>
      <c r="G29" s="108" t="s">
        <v>38</v>
      </c>
      <c r="H29" s="182">
        <v>47395</v>
      </c>
    </row>
    <row r="30" spans="1:8" s="4" customFormat="1" ht="26.4">
      <c r="A30" s="103" t="s">
        <v>229</v>
      </c>
      <c r="B30" s="138" t="s">
        <v>434</v>
      </c>
      <c r="C30" s="619"/>
      <c r="D30" s="104">
        <v>1</v>
      </c>
      <c r="E30" s="104" t="s">
        <v>304</v>
      </c>
      <c r="F30" s="104" t="s">
        <v>305</v>
      </c>
      <c r="G30" s="108" t="s">
        <v>38</v>
      </c>
      <c r="H30" s="182">
        <v>1618</v>
      </c>
    </row>
    <row r="31" spans="1:8" s="4" customFormat="1" ht="24.75" customHeight="1">
      <c r="A31" s="103" t="s">
        <v>230</v>
      </c>
      <c r="B31" s="138" t="s">
        <v>435</v>
      </c>
      <c r="C31" s="619"/>
      <c r="D31" s="104">
        <v>1</v>
      </c>
      <c r="E31" s="104" t="s">
        <v>304</v>
      </c>
      <c r="F31" s="104" t="s">
        <v>305</v>
      </c>
      <c r="G31" s="108" t="s">
        <v>38</v>
      </c>
      <c r="H31" s="182">
        <v>13941</v>
      </c>
    </row>
    <row r="32" spans="1:8" s="4" customFormat="1" ht="25.5" customHeight="1">
      <c r="A32" s="103" t="s">
        <v>231</v>
      </c>
      <c r="B32" s="138" t="s">
        <v>436</v>
      </c>
      <c r="C32" s="619"/>
      <c r="D32" s="104">
        <v>1</v>
      </c>
      <c r="E32" s="104" t="s">
        <v>304</v>
      </c>
      <c r="F32" s="104" t="s">
        <v>305</v>
      </c>
      <c r="G32" s="108" t="s">
        <v>38</v>
      </c>
      <c r="H32" s="182">
        <v>2902</v>
      </c>
    </row>
    <row r="33" spans="1:8" s="4" customFormat="1" ht="28.5" customHeight="1">
      <c r="A33" s="103" t="s">
        <v>232</v>
      </c>
      <c r="B33" s="138" t="s">
        <v>437</v>
      </c>
      <c r="C33" s="619"/>
      <c r="D33" s="104">
        <v>1</v>
      </c>
      <c r="E33" s="104" t="s">
        <v>304</v>
      </c>
      <c r="F33" s="104" t="s">
        <v>305</v>
      </c>
      <c r="G33" s="108" t="s">
        <v>38</v>
      </c>
      <c r="H33" s="182">
        <v>20164</v>
      </c>
    </row>
    <row r="34" spans="1:8" s="4" customFormat="1" ht="26.25" customHeight="1">
      <c r="A34" s="103" t="s">
        <v>233</v>
      </c>
      <c r="B34" s="138" t="s">
        <v>438</v>
      </c>
      <c r="C34" s="619"/>
      <c r="D34" s="104">
        <v>1</v>
      </c>
      <c r="E34" s="104" t="s">
        <v>304</v>
      </c>
      <c r="F34" s="104" t="s">
        <v>305</v>
      </c>
      <c r="G34" s="108" t="s">
        <v>38</v>
      </c>
      <c r="H34" s="182">
        <v>1852</v>
      </c>
    </row>
    <row r="35" spans="1:8" s="4" customFormat="1" ht="25.5" customHeight="1">
      <c r="A35" s="103" t="s">
        <v>234</v>
      </c>
      <c r="B35" s="138" t="s">
        <v>439</v>
      </c>
      <c r="C35" s="619"/>
      <c r="D35" s="104">
        <v>1</v>
      </c>
      <c r="E35" s="104" t="s">
        <v>304</v>
      </c>
      <c r="F35" s="104" t="s">
        <v>305</v>
      </c>
      <c r="G35" s="108" t="s">
        <v>38</v>
      </c>
      <c r="H35" s="182">
        <v>717</v>
      </c>
    </row>
    <row r="36" spans="1:8" s="4" customFormat="1" ht="28.5" customHeight="1">
      <c r="A36" s="103" t="s">
        <v>235</v>
      </c>
      <c r="B36" s="138" t="s">
        <v>440</v>
      </c>
      <c r="C36" s="619"/>
      <c r="D36" s="104">
        <v>1</v>
      </c>
      <c r="E36" s="104" t="s">
        <v>304</v>
      </c>
      <c r="F36" s="104" t="s">
        <v>305</v>
      </c>
      <c r="G36" s="108" t="s">
        <v>38</v>
      </c>
      <c r="H36" s="183">
        <v>10904</v>
      </c>
    </row>
    <row r="37" spans="1:8" s="4" customFormat="1" ht="25.5" customHeight="1">
      <c r="A37" s="103" t="s">
        <v>236</v>
      </c>
      <c r="B37" s="107" t="s">
        <v>441</v>
      </c>
      <c r="C37" s="619"/>
      <c r="D37" s="104">
        <v>1</v>
      </c>
      <c r="E37" s="104" t="s">
        <v>304</v>
      </c>
      <c r="F37" s="104" t="s">
        <v>305</v>
      </c>
      <c r="G37" s="108" t="s">
        <v>38</v>
      </c>
      <c r="H37" s="182">
        <v>2087</v>
      </c>
    </row>
    <row r="38" spans="1:8" s="4" customFormat="1" ht="24.75" customHeight="1">
      <c r="A38" s="103" t="s">
        <v>237</v>
      </c>
      <c r="B38" s="138" t="s">
        <v>442</v>
      </c>
      <c r="C38" s="619"/>
      <c r="D38" s="104">
        <v>1</v>
      </c>
      <c r="E38" s="104" t="s">
        <v>304</v>
      </c>
      <c r="F38" s="104" t="s">
        <v>305</v>
      </c>
      <c r="G38" s="108" t="s">
        <v>38</v>
      </c>
      <c r="H38" s="182">
        <v>7941</v>
      </c>
    </row>
    <row r="39" spans="1:8" ht="27">
      <c r="A39" s="103" t="s">
        <v>238</v>
      </c>
      <c r="B39" s="138" t="s">
        <v>443</v>
      </c>
      <c r="C39" s="619"/>
      <c r="D39" s="104">
        <v>1</v>
      </c>
      <c r="E39" s="104" t="s">
        <v>304</v>
      </c>
      <c r="F39" s="104" t="s">
        <v>305</v>
      </c>
      <c r="G39" s="108" t="s">
        <v>38</v>
      </c>
      <c r="H39" s="182">
        <v>11387</v>
      </c>
    </row>
    <row r="40" spans="1:8" ht="38.25" customHeight="1">
      <c r="A40" s="103" t="s">
        <v>239</v>
      </c>
      <c r="B40" s="138" t="s">
        <v>444</v>
      </c>
      <c r="C40" s="619"/>
      <c r="D40" s="104">
        <v>1</v>
      </c>
      <c r="E40" s="104" t="s">
        <v>304</v>
      </c>
      <c r="F40" s="104" t="s">
        <v>305</v>
      </c>
      <c r="G40" s="108" t="s">
        <v>38</v>
      </c>
      <c r="H40" s="183">
        <v>10290</v>
      </c>
    </row>
    <row r="41" spans="1:8" ht="26.25" customHeight="1">
      <c r="A41" s="103" t="s">
        <v>240</v>
      </c>
      <c r="B41" s="107" t="s">
        <v>445</v>
      </c>
      <c r="C41" s="619"/>
      <c r="D41" s="104">
        <v>1</v>
      </c>
      <c r="E41" s="104" t="s">
        <v>304</v>
      </c>
      <c r="F41" s="104" t="s">
        <v>305</v>
      </c>
      <c r="G41" s="108" t="s">
        <v>38</v>
      </c>
      <c r="H41" s="183">
        <v>23132</v>
      </c>
    </row>
    <row r="42" spans="1:8" s="15" customFormat="1" ht="25.5" customHeight="1">
      <c r="A42" s="103" t="s">
        <v>241</v>
      </c>
      <c r="B42" s="107" t="s">
        <v>446</v>
      </c>
      <c r="C42" s="619"/>
      <c r="D42" s="104">
        <v>1</v>
      </c>
      <c r="E42" s="104" t="s">
        <v>304</v>
      </c>
      <c r="F42" s="104" t="s">
        <v>305</v>
      </c>
      <c r="G42" s="108" t="s">
        <v>38</v>
      </c>
      <c r="H42" s="183">
        <v>2313</v>
      </c>
    </row>
    <row r="43" spans="1:8" s="15" customFormat="1" ht="24.75" customHeight="1">
      <c r="A43" s="103" t="s">
        <v>242</v>
      </c>
      <c r="B43" s="112" t="s">
        <v>447</v>
      </c>
      <c r="C43" s="619"/>
      <c r="D43" s="104">
        <v>1</v>
      </c>
      <c r="E43" s="104" t="s">
        <v>304</v>
      </c>
      <c r="F43" s="104" t="s">
        <v>305</v>
      </c>
      <c r="G43" s="108" t="s">
        <v>38</v>
      </c>
      <c r="H43" s="183">
        <v>10652</v>
      </c>
    </row>
    <row r="44" spans="1:8" s="15" customFormat="1" ht="13.8">
      <c r="A44" s="137"/>
      <c r="B44" s="146" t="s">
        <v>88</v>
      </c>
      <c r="C44" s="147"/>
      <c r="D44" s="147"/>
      <c r="E44" s="147"/>
      <c r="F44" s="147"/>
      <c r="G44" s="148"/>
      <c r="H44" s="145">
        <f>SUM(H20:H43)</f>
        <v>450313</v>
      </c>
    </row>
    <row r="45" spans="1:8" s="15" customFormat="1" ht="26.4">
      <c r="A45" s="149"/>
      <c r="B45" s="113" t="s">
        <v>119</v>
      </c>
      <c r="C45" s="150"/>
      <c r="D45" s="114"/>
      <c r="E45" s="114"/>
      <c r="F45" s="114"/>
      <c r="G45" s="114"/>
      <c r="H45" s="114"/>
    </row>
    <row r="46" spans="1:8" s="15" customFormat="1" ht="13.8">
      <c r="A46" s="149"/>
      <c r="B46" s="113" t="s">
        <v>43</v>
      </c>
      <c r="C46" s="114"/>
      <c r="D46" s="114"/>
      <c r="E46" s="114"/>
      <c r="F46" s="114"/>
      <c r="G46" s="114"/>
      <c r="H46" s="114"/>
    </row>
    <row r="47" spans="1:8" ht="52.5" customHeight="1">
      <c r="A47" s="149" t="s">
        <v>155</v>
      </c>
      <c r="B47" s="107" t="s">
        <v>306</v>
      </c>
      <c r="C47" s="185" t="s">
        <v>307</v>
      </c>
      <c r="D47" s="151">
        <v>2</v>
      </c>
      <c r="E47" s="115" t="s">
        <v>47</v>
      </c>
      <c r="F47" s="115" t="s">
        <v>56</v>
      </c>
      <c r="G47" s="108" t="s">
        <v>38</v>
      </c>
      <c r="H47" s="116">
        <v>41750</v>
      </c>
    </row>
    <row r="48" spans="1:8" ht="29.25" customHeight="1">
      <c r="A48" s="149" t="s">
        <v>156</v>
      </c>
      <c r="B48" s="107" t="s">
        <v>308</v>
      </c>
      <c r="C48" s="185" t="s">
        <v>309</v>
      </c>
      <c r="D48" s="143">
        <v>2</v>
      </c>
      <c r="E48" s="115" t="s">
        <v>47</v>
      </c>
      <c r="F48" s="115" t="s">
        <v>56</v>
      </c>
      <c r="G48" s="108" t="s">
        <v>38</v>
      </c>
      <c r="H48" s="116">
        <v>6186</v>
      </c>
    </row>
    <row r="49" spans="1:8">
      <c r="A49" s="137"/>
      <c r="B49" s="164" t="s">
        <v>69</v>
      </c>
      <c r="C49" s="113"/>
      <c r="D49" s="154"/>
      <c r="E49" s="113"/>
      <c r="F49" s="113"/>
      <c r="G49" s="113"/>
      <c r="H49" s="105">
        <f>SUM(H47:H48)</f>
        <v>47936</v>
      </c>
    </row>
    <row r="50" spans="1:8">
      <c r="A50" s="149"/>
      <c r="B50" s="155" t="s">
        <v>125</v>
      </c>
      <c r="C50" s="156"/>
      <c r="D50" s="140"/>
      <c r="E50" s="157"/>
      <c r="F50" s="157"/>
      <c r="G50" s="141"/>
      <c r="H50" s="116"/>
    </row>
    <row r="51" spans="1:8" ht="63.75" customHeight="1">
      <c r="A51" s="158" t="s">
        <v>195</v>
      </c>
      <c r="B51" s="112" t="s">
        <v>292</v>
      </c>
      <c r="C51" s="159" t="s">
        <v>96</v>
      </c>
      <c r="D51" s="118">
        <v>1</v>
      </c>
      <c r="E51" s="119" t="s">
        <v>44</v>
      </c>
      <c r="F51" s="119" t="s">
        <v>37</v>
      </c>
      <c r="G51" s="118" t="s">
        <v>38</v>
      </c>
      <c r="H51" s="120">
        <v>1231</v>
      </c>
    </row>
    <row r="52" spans="1:8" ht="26.4">
      <c r="A52" s="158" t="s">
        <v>196</v>
      </c>
      <c r="B52" s="112" t="s">
        <v>293</v>
      </c>
      <c r="C52" s="130" t="s">
        <v>67</v>
      </c>
      <c r="D52" s="118">
        <v>1</v>
      </c>
      <c r="E52" s="119" t="s">
        <v>44</v>
      </c>
      <c r="F52" s="119" t="s">
        <v>37</v>
      </c>
      <c r="G52" s="118" t="s">
        <v>38</v>
      </c>
      <c r="H52" s="121">
        <v>195</v>
      </c>
    </row>
    <row r="53" spans="1:8" ht="27.75" customHeight="1">
      <c r="A53" s="158" t="s">
        <v>197</v>
      </c>
      <c r="B53" s="112" t="s">
        <v>310</v>
      </c>
      <c r="C53" s="160" t="s">
        <v>97</v>
      </c>
      <c r="D53" s="118">
        <v>1</v>
      </c>
      <c r="E53" s="119" t="s">
        <v>44</v>
      </c>
      <c r="F53" s="119" t="s">
        <v>37</v>
      </c>
      <c r="G53" s="118" t="s">
        <v>38</v>
      </c>
      <c r="H53" s="121">
        <v>65</v>
      </c>
    </row>
    <row r="54" spans="1:8" ht="40.5" customHeight="1">
      <c r="A54" s="158" t="s">
        <v>198</v>
      </c>
      <c r="B54" s="112" t="s">
        <v>73</v>
      </c>
      <c r="C54" s="186" t="s">
        <v>98</v>
      </c>
      <c r="D54" s="162">
        <v>1</v>
      </c>
      <c r="E54" s="119" t="s">
        <v>44</v>
      </c>
      <c r="F54" s="119" t="s">
        <v>37</v>
      </c>
      <c r="G54" s="118" t="s">
        <v>38</v>
      </c>
      <c r="H54" s="121">
        <v>161</v>
      </c>
    </row>
    <row r="55" spans="1:8" ht="37.5" customHeight="1">
      <c r="A55" s="158" t="s">
        <v>199</v>
      </c>
      <c r="B55" s="130" t="s">
        <v>74</v>
      </c>
      <c r="C55" s="186" t="s">
        <v>99</v>
      </c>
      <c r="D55" s="162">
        <v>1</v>
      </c>
      <c r="E55" s="119" t="s">
        <v>44</v>
      </c>
      <c r="F55" s="119" t="s">
        <v>37</v>
      </c>
      <c r="G55" s="118" t="s">
        <v>38</v>
      </c>
      <c r="H55" s="121">
        <v>241</v>
      </c>
    </row>
    <row r="56" spans="1:8" ht="39.75" customHeight="1">
      <c r="A56" s="158" t="s">
        <v>246</v>
      </c>
      <c r="B56" s="112" t="s">
        <v>100</v>
      </c>
      <c r="C56" s="186" t="s">
        <v>101</v>
      </c>
      <c r="D56" s="162">
        <v>1</v>
      </c>
      <c r="E56" s="119" t="s">
        <v>44</v>
      </c>
      <c r="F56" s="119" t="s">
        <v>37</v>
      </c>
      <c r="G56" s="118" t="s">
        <v>38</v>
      </c>
      <c r="H56" s="121">
        <v>251</v>
      </c>
    </row>
    <row r="57" spans="1:8" ht="27">
      <c r="A57" s="158" t="s">
        <v>247</v>
      </c>
      <c r="B57" s="112" t="s">
        <v>311</v>
      </c>
      <c r="C57" s="186" t="s">
        <v>312</v>
      </c>
      <c r="D57" s="162">
        <v>1</v>
      </c>
      <c r="E57" s="119" t="s">
        <v>44</v>
      </c>
      <c r="F57" s="119" t="s">
        <v>58</v>
      </c>
      <c r="G57" s="118" t="s">
        <v>38</v>
      </c>
      <c r="H57" s="121">
        <v>7477</v>
      </c>
    </row>
    <row r="58" spans="1:8">
      <c r="A58" s="158"/>
      <c r="B58" s="164" t="s">
        <v>250</v>
      </c>
      <c r="C58" s="165"/>
      <c r="D58" s="166"/>
      <c r="E58" s="167"/>
      <c r="F58" s="167"/>
      <c r="G58" s="166"/>
      <c r="H58" s="122">
        <f>SUM(H51:H57)</f>
        <v>9621</v>
      </c>
    </row>
    <row r="59" spans="1:8">
      <c r="A59" s="158"/>
      <c r="B59" s="123" t="s">
        <v>251</v>
      </c>
      <c r="C59" s="168"/>
      <c r="D59" s="104"/>
      <c r="E59" s="109"/>
      <c r="F59" s="109"/>
      <c r="G59" s="124"/>
      <c r="H59" s="109"/>
    </row>
    <row r="60" spans="1:8" ht="31.5" customHeight="1">
      <c r="A60" s="158" t="s">
        <v>11</v>
      </c>
      <c r="B60" s="125" t="s">
        <v>313</v>
      </c>
      <c r="C60" s="112" t="s">
        <v>102</v>
      </c>
      <c r="D60" s="104">
        <v>2</v>
      </c>
      <c r="E60" s="109" t="s">
        <v>37</v>
      </c>
      <c r="F60" s="109" t="s">
        <v>53</v>
      </c>
      <c r="G60" s="166" t="s">
        <v>38</v>
      </c>
      <c r="H60" s="109">
        <v>1178</v>
      </c>
    </row>
    <row r="61" spans="1:8" ht="27">
      <c r="A61" s="158" t="s">
        <v>12</v>
      </c>
      <c r="B61" s="125" t="s">
        <v>252</v>
      </c>
      <c r="C61" s="169" t="s">
        <v>314</v>
      </c>
      <c r="D61" s="126">
        <v>2</v>
      </c>
      <c r="E61" s="109" t="s">
        <v>37</v>
      </c>
      <c r="F61" s="109" t="s">
        <v>53</v>
      </c>
      <c r="G61" s="166" t="s">
        <v>38</v>
      </c>
      <c r="H61" s="109">
        <v>2271</v>
      </c>
    </row>
    <row r="62" spans="1:8">
      <c r="A62" s="137"/>
      <c r="B62" s="113" t="s">
        <v>253</v>
      </c>
      <c r="C62" s="170"/>
      <c r="D62" s="170"/>
      <c r="E62" s="170"/>
      <c r="F62" s="170"/>
      <c r="G62" s="154"/>
      <c r="H62" s="127">
        <f>SUM(H60:H61)</f>
        <v>3449</v>
      </c>
    </row>
    <row r="63" spans="1:8">
      <c r="A63" s="171"/>
      <c r="B63" s="172" t="s">
        <v>128</v>
      </c>
      <c r="C63" s="112"/>
      <c r="D63" s="104"/>
      <c r="E63" s="109"/>
      <c r="F63" s="109"/>
      <c r="G63" s="124"/>
      <c r="H63" s="109"/>
    </row>
    <row r="64" spans="1:8" ht="26.4">
      <c r="A64" s="171" t="s">
        <v>201</v>
      </c>
      <c r="B64" s="107" t="s">
        <v>315</v>
      </c>
      <c r="C64" s="152" t="s">
        <v>105</v>
      </c>
      <c r="D64" s="162">
        <v>1</v>
      </c>
      <c r="E64" s="118" t="s">
        <v>51</v>
      </c>
      <c r="F64" s="118" t="s">
        <v>37</v>
      </c>
      <c r="G64" s="118" t="s">
        <v>38</v>
      </c>
      <c r="H64" s="131">
        <v>4829</v>
      </c>
    </row>
    <row r="65" spans="1:8" ht="26.4">
      <c r="A65" s="171" t="s">
        <v>202</v>
      </c>
      <c r="B65" s="107" t="s">
        <v>316</v>
      </c>
      <c r="C65" s="152" t="s">
        <v>106</v>
      </c>
      <c r="D65" s="162">
        <v>2</v>
      </c>
      <c r="E65" s="118" t="s">
        <v>47</v>
      </c>
      <c r="F65" s="118" t="s">
        <v>55</v>
      </c>
      <c r="G65" s="118" t="s">
        <v>38</v>
      </c>
      <c r="H65" s="131">
        <v>4911</v>
      </c>
    </row>
    <row r="66" spans="1:8" ht="26.4">
      <c r="A66" s="171" t="s">
        <v>203</v>
      </c>
      <c r="B66" s="107" t="s">
        <v>317</v>
      </c>
      <c r="C66" s="152" t="s">
        <v>108</v>
      </c>
      <c r="D66" s="162">
        <v>1</v>
      </c>
      <c r="E66" s="118" t="s">
        <v>51</v>
      </c>
      <c r="F66" s="118" t="s">
        <v>37</v>
      </c>
      <c r="G66" s="118" t="s">
        <v>38</v>
      </c>
      <c r="H66" s="131">
        <v>11846</v>
      </c>
    </row>
    <row r="67" spans="1:8" ht="26.4">
      <c r="A67" s="171" t="s">
        <v>204</v>
      </c>
      <c r="B67" s="107" t="s">
        <v>318</v>
      </c>
      <c r="C67" s="152" t="s">
        <v>110</v>
      </c>
      <c r="D67" s="162">
        <v>1</v>
      </c>
      <c r="E67" s="118" t="s">
        <v>51</v>
      </c>
      <c r="F67" s="118" t="s">
        <v>37</v>
      </c>
      <c r="G67" s="118" t="s">
        <v>38</v>
      </c>
      <c r="H67" s="131">
        <v>11349</v>
      </c>
    </row>
    <row r="68" spans="1:8" s="47" customFormat="1" ht="26.4">
      <c r="A68" s="171" t="s">
        <v>205</v>
      </c>
      <c r="B68" s="107" t="s">
        <v>319</v>
      </c>
      <c r="C68" s="152" t="s">
        <v>112</v>
      </c>
      <c r="D68" s="162">
        <v>2</v>
      </c>
      <c r="E68" s="118" t="s">
        <v>47</v>
      </c>
      <c r="F68" s="118" t="s">
        <v>55</v>
      </c>
      <c r="G68" s="118" t="s">
        <v>38</v>
      </c>
      <c r="H68" s="131">
        <v>2518</v>
      </c>
    </row>
    <row r="69" spans="1:8" s="47" customFormat="1" ht="25.5" customHeight="1">
      <c r="A69" s="171" t="s">
        <v>206</v>
      </c>
      <c r="B69" s="107" t="s">
        <v>320</v>
      </c>
      <c r="C69" s="152" t="s">
        <v>114</v>
      </c>
      <c r="D69" s="162">
        <v>2</v>
      </c>
      <c r="E69" s="118" t="s">
        <v>47</v>
      </c>
      <c r="F69" s="118" t="s">
        <v>55</v>
      </c>
      <c r="G69" s="118" t="s">
        <v>38</v>
      </c>
      <c r="H69" s="131">
        <v>3078</v>
      </c>
    </row>
    <row r="70" spans="1:8" s="39" customFormat="1" ht="26.4">
      <c r="A70" s="171" t="s">
        <v>207</v>
      </c>
      <c r="B70" s="107" t="s">
        <v>176</v>
      </c>
      <c r="C70" s="152" t="s">
        <v>94</v>
      </c>
      <c r="D70" s="162">
        <v>1</v>
      </c>
      <c r="E70" s="118" t="s">
        <v>47</v>
      </c>
      <c r="F70" s="118" t="s">
        <v>45</v>
      </c>
      <c r="G70" s="118" t="s">
        <v>38</v>
      </c>
      <c r="H70" s="120">
        <v>14701</v>
      </c>
    </row>
    <row r="71" spans="1:8" s="39" customFormat="1" ht="26.4">
      <c r="A71" s="171" t="s">
        <v>129</v>
      </c>
      <c r="B71" s="107" t="s">
        <v>321</v>
      </c>
      <c r="C71" s="152" t="s">
        <v>116</v>
      </c>
      <c r="D71" s="162">
        <v>1</v>
      </c>
      <c r="E71" s="118" t="s">
        <v>47</v>
      </c>
      <c r="F71" s="118" t="s">
        <v>45</v>
      </c>
      <c r="G71" s="118" t="s">
        <v>38</v>
      </c>
      <c r="H71" s="120">
        <v>12677</v>
      </c>
    </row>
    <row r="72" spans="1:8" s="47" customFormat="1" ht="26.4">
      <c r="A72" s="171" t="s">
        <v>208</v>
      </c>
      <c r="B72" s="184" t="s">
        <v>322</v>
      </c>
      <c r="C72" s="152" t="s">
        <v>92</v>
      </c>
      <c r="D72" s="162">
        <v>1</v>
      </c>
      <c r="E72" s="118" t="s">
        <v>51</v>
      </c>
      <c r="F72" s="118" t="s">
        <v>37</v>
      </c>
      <c r="G72" s="118" t="s">
        <v>38</v>
      </c>
      <c r="H72" s="120">
        <v>10418</v>
      </c>
    </row>
    <row r="73" spans="1:8" s="39" customFormat="1" ht="15.6">
      <c r="A73" s="171"/>
      <c r="B73" s="174" t="s">
        <v>139</v>
      </c>
      <c r="C73" s="174"/>
      <c r="D73" s="166"/>
      <c r="E73" s="166"/>
      <c r="F73" s="166"/>
      <c r="G73" s="166"/>
      <c r="H73" s="129">
        <f>SUM(H64:H72)</f>
        <v>76327</v>
      </c>
    </row>
    <row r="74" spans="1:8" s="47" customFormat="1" ht="15.6">
      <c r="A74" s="171"/>
      <c r="B74" s="172" t="s">
        <v>134</v>
      </c>
      <c r="C74" s="175"/>
      <c r="D74" s="176"/>
      <c r="E74" s="177"/>
      <c r="F74" s="177"/>
      <c r="G74" s="178"/>
      <c r="H74" s="109"/>
    </row>
    <row r="75" spans="1:8" ht="30" customHeight="1">
      <c r="A75" s="171"/>
      <c r="B75" s="107" t="s">
        <v>31</v>
      </c>
      <c r="C75" s="187" t="s">
        <v>79</v>
      </c>
      <c r="D75" s="143">
        <v>2</v>
      </c>
      <c r="E75" s="109" t="s">
        <v>44</v>
      </c>
      <c r="F75" s="109" t="s">
        <v>37</v>
      </c>
      <c r="G75" s="124" t="s">
        <v>38</v>
      </c>
      <c r="H75" s="109">
        <v>758</v>
      </c>
    </row>
    <row r="76" spans="1:8">
      <c r="A76" s="181"/>
      <c r="B76" s="113" t="s">
        <v>189</v>
      </c>
      <c r="C76" s="132"/>
      <c r="D76" s="133"/>
      <c r="E76" s="133"/>
      <c r="F76" s="133"/>
      <c r="G76" s="114"/>
      <c r="H76" s="105">
        <f>SUM(H75:H75)</f>
        <v>758</v>
      </c>
    </row>
    <row r="77" spans="1:8">
      <c r="A77" s="181"/>
      <c r="B77" s="113" t="s">
        <v>95</v>
      </c>
      <c r="C77" s="132"/>
      <c r="D77" s="133"/>
      <c r="E77" s="133"/>
      <c r="F77" s="133"/>
      <c r="G77" s="114"/>
      <c r="H77" s="105">
        <f>H18+H44+H49+H58+H62+H73+H76</f>
        <v>1162451</v>
      </c>
    </row>
    <row r="79" spans="1:8" ht="15.6">
      <c r="B79" s="26"/>
      <c r="C79" s="40"/>
      <c r="D79" s="39"/>
      <c r="E79" s="50"/>
    </row>
    <row r="80" spans="1:8" ht="15.75" customHeight="1">
      <c r="A80" s="623" t="s">
        <v>360</v>
      </c>
      <c r="B80" s="623"/>
      <c r="C80" s="623"/>
      <c r="D80" s="623"/>
      <c r="E80" s="623"/>
      <c r="F80" s="623"/>
      <c r="G80" s="623"/>
      <c r="H80" s="623"/>
    </row>
    <row r="81" spans="1:8" ht="15.6">
      <c r="B81" s="39"/>
      <c r="C81" s="40"/>
      <c r="D81" s="39"/>
      <c r="E81" s="50"/>
    </row>
    <row r="82" spans="1:8" ht="15.6">
      <c r="A82" s="623" t="s">
        <v>357</v>
      </c>
      <c r="B82" s="623"/>
      <c r="C82" s="623"/>
      <c r="D82" s="623"/>
      <c r="E82" s="623"/>
      <c r="F82" s="623"/>
      <c r="G82" s="623"/>
      <c r="H82" s="623"/>
    </row>
  </sheetData>
  <mergeCells count="13">
    <mergeCell ref="A80:H80"/>
    <mergeCell ref="A82:H82"/>
    <mergeCell ref="G8:H8"/>
    <mergeCell ref="B11:G11"/>
    <mergeCell ref="C13:C17"/>
    <mergeCell ref="C20:C24"/>
    <mergeCell ref="C25:C43"/>
    <mergeCell ref="A7:H7"/>
    <mergeCell ref="F1:H1"/>
    <mergeCell ref="F2:H2"/>
    <mergeCell ref="F3:H3"/>
    <mergeCell ref="F4:H4"/>
    <mergeCell ref="F5:H5"/>
  </mergeCells>
  <pageMargins left="0" right="0" top="0" bottom="0.74803149606299213" header="0.15748031496062992" footer="0.74803149606299213"/>
  <pageSetup paperSize="9" scale="90" orientation="landscape" horizontalDpi="180" verticalDpi="180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G149"/>
  <sheetViews>
    <sheetView topLeftCell="A7" zoomScale="90" zoomScaleNormal="90" workbookViewId="0">
      <pane xSplit="2" ySplit="5" topLeftCell="C126" activePane="bottomRight" state="frozen"/>
      <selection activeCell="A7" sqref="A7"/>
      <selection pane="topRight" activeCell="C7" sqref="C7"/>
      <selection pane="bottomLeft" activeCell="A12" sqref="A12"/>
      <selection pane="bottomRight" activeCell="C13" sqref="C13"/>
    </sheetView>
  </sheetViews>
  <sheetFormatPr defaultColWidth="9.109375" defaultRowHeight="15.6"/>
  <cols>
    <col min="1" max="1" width="5.33203125" style="45" customWidth="1"/>
    <col min="2" max="2" width="75.33203125" style="45" customWidth="1"/>
    <col min="3" max="3" width="17.88671875" style="78" customWidth="1"/>
    <col min="4" max="4" width="14.109375" style="76" customWidth="1"/>
    <col min="5" max="5" width="13.33203125" style="80" customWidth="1"/>
    <col min="6" max="6" width="19.88671875" style="79" customWidth="1"/>
    <col min="7" max="16384" width="9.109375" style="45"/>
  </cols>
  <sheetData>
    <row r="1" spans="1:6" s="51" customFormat="1">
      <c r="A1" s="5"/>
      <c r="B1" s="6" t="s">
        <v>20</v>
      </c>
      <c r="C1" s="7"/>
      <c r="D1" s="5"/>
      <c r="E1" s="630" t="s">
        <v>13</v>
      </c>
      <c r="F1" s="630"/>
    </row>
    <row r="2" spans="1:6" s="51" customFormat="1">
      <c r="A2" s="5"/>
      <c r="B2" s="6" t="s">
        <v>21</v>
      </c>
      <c r="C2" s="7"/>
      <c r="D2" s="5"/>
      <c r="E2" s="630" t="s">
        <v>476</v>
      </c>
      <c r="F2" s="630"/>
    </row>
    <row r="3" spans="1:6" s="51" customFormat="1">
      <c r="A3" s="5"/>
      <c r="B3" s="6" t="s">
        <v>22</v>
      </c>
      <c r="C3" s="7"/>
      <c r="D3" s="5"/>
      <c r="E3" s="630" t="s">
        <v>34</v>
      </c>
      <c r="F3" s="630"/>
    </row>
    <row r="4" spans="1:6" s="51" customFormat="1">
      <c r="A4" s="5"/>
      <c r="B4" s="6" t="s">
        <v>23</v>
      </c>
      <c r="C4" s="7"/>
      <c r="D4" s="5"/>
      <c r="E4" s="630" t="s">
        <v>169</v>
      </c>
      <c r="F4" s="630"/>
    </row>
    <row r="5" spans="1:6" s="51" customFormat="1">
      <c r="A5" s="5"/>
      <c r="B5" s="6" t="s">
        <v>24</v>
      </c>
      <c r="C5" s="7"/>
      <c r="D5" s="5"/>
      <c r="E5" s="630" t="s">
        <v>477</v>
      </c>
      <c r="F5" s="630"/>
    </row>
    <row r="6" spans="1:6">
      <c r="A6" s="1"/>
      <c r="B6" s="10"/>
      <c r="C6" s="31"/>
      <c r="D6" s="1"/>
      <c r="E6" s="27"/>
      <c r="F6" s="13"/>
    </row>
    <row r="7" spans="1:6">
      <c r="A7" s="622" t="s">
        <v>494</v>
      </c>
      <c r="B7" s="622"/>
      <c r="C7" s="622"/>
      <c r="D7" s="622"/>
      <c r="E7" s="622"/>
      <c r="F7" s="622"/>
    </row>
    <row r="8" spans="1:6">
      <c r="A8" s="1"/>
      <c r="B8" s="14"/>
      <c r="C8" s="41"/>
      <c r="D8" s="1"/>
      <c r="E8" s="634" t="s">
        <v>270</v>
      </c>
      <c r="F8" s="634"/>
    </row>
    <row r="9" spans="1:6" ht="15" customHeight="1">
      <c r="A9" s="631" t="s">
        <v>0</v>
      </c>
      <c r="B9" s="632" t="s">
        <v>1</v>
      </c>
      <c r="C9" s="631" t="s">
        <v>18</v>
      </c>
      <c r="D9" s="631" t="s">
        <v>15</v>
      </c>
      <c r="E9" s="633" t="s">
        <v>16</v>
      </c>
      <c r="F9" s="633" t="s">
        <v>17</v>
      </c>
    </row>
    <row r="10" spans="1:6" ht="34.5" customHeight="1">
      <c r="A10" s="631"/>
      <c r="B10" s="632"/>
      <c r="C10" s="631"/>
      <c r="D10" s="631"/>
      <c r="E10" s="633"/>
      <c r="F10" s="633"/>
    </row>
    <row r="11" spans="1:6">
      <c r="A11" s="52">
        <v>1</v>
      </c>
      <c r="B11" s="53">
        <v>2</v>
      </c>
      <c r="C11" s="54">
        <v>3</v>
      </c>
      <c r="D11" s="54">
        <v>5</v>
      </c>
      <c r="E11" s="55">
        <v>6</v>
      </c>
      <c r="F11" s="56">
        <v>7</v>
      </c>
    </row>
    <row r="12" spans="1:6" s="32" customFormat="1" ht="31.5" customHeight="1">
      <c r="A12" s="57"/>
      <c r="B12" s="33" t="s">
        <v>41</v>
      </c>
      <c r="C12" s="28" t="e">
        <f>D12+E12+F12</f>
        <v>#REF!</v>
      </c>
      <c r="D12" s="28" t="e">
        <f>D13+D52+D54+D74+D94+D102+D129</f>
        <v>#REF!</v>
      </c>
      <c r="E12" s="28" t="e">
        <f>E13+E52+E54+E74+E94+E102+E129</f>
        <v>#REF!</v>
      </c>
      <c r="F12" s="28" t="e">
        <f>F13+F52+F54+F74+F94+F102+F129</f>
        <v>#REF!</v>
      </c>
    </row>
    <row r="13" spans="1:6" ht="21.75" customHeight="1">
      <c r="A13" s="53">
        <v>1</v>
      </c>
      <c r="B13" s="24" t="s">
        <v>42</v>
      </c>
      <c r="C13" s="28" t="e">
        <f>D13+E13+F13</f>
        <v>#REF!</v>
      </c>
      <c r="D13" s="30" t="e">
        <f>D26+D27+D28+D29</f>
        <v>#REF!</v>
      </c>
      <c r="E13" s="30">
        <f>E30+E31+E32+E33+E34+E35+E36</f>
        <v>504972</v>
      </c>
      <c r="F13" s="30">
        <f>F37+F38+F39+F40+F41</f>
        <v>574047</v>
      </c>
    </row>
    <row r="14" spans="1:6" s="60" customFormat="1" ht="15" customHeight="1">
      <c r="A14" s="58" t="s">
        <v>3</v>
      </c>
      <c r="B14" s="21" t="s">
        <v>35</v>
      </c>
      <c r="C14" s="91">
        <f t="shared" ref="C14:C53" si="0">D14+E14+F14</f>
        <v>0</v>
      </c>
      <c r="D14" s="22"/>
      <c r="E14" s="59"/>
      <c r="F14" s="59"/>
    </row>
    <row r="15" spans="1:6" s="60" customFormat="1" ht="15" customHeight="1">
      <c r="A15" s="58" t="s">
        <v>4</v>
      </c>
      <c r="B15" s="21" t="s">
        <v>39</v>
      </c>
      <c r="C15" s="91">
        <f t="shared" si="0"/>
        <v>0</v>
      </c>
      <c r="D15" s="22"/>
      <c r="E15" s="59"/>
      <c r="F15" s="59"/>
    </row>
    <row r="16" spans="1:6" s="60" customFormat="1" ht="15" customHeight="1">
      <c r="A16" s="58" t="s">
        <v>5</v>
      </c>
      <c r="B16" s="21" t="s">
        <v>40</v>
      </c>
      <c r="C16" s="91">
        <f t="shared" si="0"/>
        <v>0</v>
      </c>
      <c r="D16" s="22"/>
      <c r="E16" s="59"/>
      <c r="F16" s="59"/>
    </row>
    <row r="17" spans="1:7" s="60" customFormat="1" ht="33.75" customHeight="1">
      <c r="A17" s="58" t="s">
        <v>6</v>
      </c>
      <c r="B17" s="197" t="s">
        <v>365</v>
      </c>
      <c r="C17" s="91">
        <f t="shared" si="0"/>
        <v>0</v>
      </c>
      <c r="D17" s="71"/>
      <c r="E17" s="59"/>
      <c r="F17" s="59"/>
    </row>
    <row r="18" spans="1:7" s="60" customFormat="1" ht="31.2">
      <c r="A18" s="58" t="s">
        <v>7</v>
      </c>
      <c r="B18" s="197" t="s">
        <v>366</v>
      </c>
      <c r="C18" s="91">
        <f t="shared" si="0"/>
        <v>0</v>
      </c>
      <c r="D18" s="22"/>
      <c r="E18" s="59"/>
      <c r="F18" s="59"/>
    </row>
    <row r="19" spans="1:7" s="60" customFormat="1" ht="31.2">
      <c r="A19" s="58" t="s">
        <v>8</v>
      </c>
      <c r="B19" s="197" t="s">
        <v>367</v>
      </c>
      <c r="C19" s="91">
        <f t="shared" si="0"/>
        <v>0</v>
      </c>
      <c r="D19" s="22"/>
      <c r="E19" s="59"/>
      <c r="F19" s="59"/>
    </row>
    <row r="20" spans="1:7" s="60" customFormat="1" ht="32.25" customHeight="1">
      <c r="A20" s="58" t="s">
        <v>19</v>
      </c>
      <c r="B20" s="197" t="s">
        <v>368</v>
      </c>
      <c r="C20" s="91">
        <f t="shared" si="0"/>
        <v>0</v>
      </c>
      <c r="D20" s="22"/>
      <c r="E20" s="59"/>
      <c r="F20" s="59"/>
    </row>
    <row r="21" spans="1:7" s="60" customFormat="1" ht="67.5" customHeight="1">
      <c r="A21" s="58" t="s">
        <v>32</v>
      </c>
      <c r="B21" s="197" t="s">
        <v>361</v>
      </c>
      <c r="C21" s="91">
        <f t="shared" si="0"/>
        <v>0</v>
      </c>
      <c r="D21" s="22"/>
      <c r="E21" s="59"/>
      <c r="F21" s="59"/>
    </row>
    <row r="22" spans="1:7" s="60" customFormat="1" ht="32.25" customHeight="1">
      <c r="A22" s="58" t="s">
        <v>121</v>
      </c>
      <c r="B22" s="197" t="s">
        <v>362</v>
      </c>
      <c r="C22" s="91">
        <f t="shared" si="0"/>
        <v>0</v>
      </c>
      <c r="D22" s="22"/>
      <c r="E22" s="59"/>
      <c r="F22" s="59"/>
    </row>
    <row r="23" spans="1:7" s="60" customFormat="1" ht="32.25" customHeight="1">
      <c r="A23" s="58" t="s">
        <v>145</v>
      </c>
      <c r="B23" s="197" t="s">
        <v>363</v>
      </c>
      <c r="C23" s="91">
        <f t="shared" si="0"/>
        <v>0</v>
      </c>
      <c r="D23" s="22"/>
      <c r="E23" s="59"/>
      <c r="F23" s="59"/>
    </row>
    <row r="24" spans="1:7" s="60" customFormat="1" ht="24" customHeight="1">
      <c r="A24" s="58" t="s">
        <v>146</v>
      </c>
      <c r="B24" s="21" t="s">
        <v>190</v>
      </c>
      <c r="C24" s="91">
        <f t="shared" si="0"/>
        <v>0</v>
      </c>
      <c r="D24" s="22"/>
      <c r="E24" s="59"/>
      <c r="F24" s="59"/>
    </row>
    <row r="25" spans="1:7" s="60" customFormat="1" ht="32.25" customHeight="1">
      <c r="A25" s="58" t="s">
        <v>147</v>
      </c>
      <c r="B25" s="21" t="s">
        <v>191</v>
      </c>
      <c r="C25" s="91">
        <f t="shared" si="0"/>
        <v>0</v>
      </c>
      <c r="D25" s="22"/>
      <c r="E25" s="59"/>
      <c r="F25" s="59"/>
    </row>
    <row r="26" spans="1:7" s="60" customFormat="1" ht="32.25" customHeight="1">
      <c r="A26" s="58" t="s">
        <v>148</v>
      </c>
      <c r="B26" s="16" t="s">
        <v>369</v>
      </c>
      <c r="C26" s="91" t="e">
        <f t="shared" si="0"/>
        <v>#REF!</v>
      </c>
      <c r="D26" s="83" t="e">
        <f>#REF!</f>
        <v>#REF!</v>
      </c>
      <c r="E26" s="84"/>
      <c r="F26" s="84"/>
    </row>
    <row r="27" spans="1:7" s="60" customFormat="1" ht="33" customHeight="1">
      <c r="A27" s="58" t="s">
        <v>122</v>
      </c>
      <c r="B27" s="16" t="s">
        <v>370</v>
      </c>
      <c r="C27" s="91" t="e">
        <f t="shared" si="0"/>
        <v>#REF!</v>
      </c>
      <c r="D27" s="83" t="e">
        <f>#REF!</f>
        <v>#REF!</v>
      </c>
      <c r="E27" s="84"/>
      <c r="F27" s="84"/>
    </row>
    <row r="28" spans="1:7" s="60" customFormat="1" ht="35.25" customHeight="1">
      <c r="A28" s="58" t="s">
        <v>149</v>
      </c>
      <c r="B28" s="17" t="s">
        <v>364</v>
      </c>
      <c r="C28" s="91" t="e">
        <f t="shared" si="0"/>
        <v>#REF!</v>
      </c>
      <c r="D28" s="83" t="e">
        <f>#REF!</f>
        <v>#REF!</v>
      </c>
      <c r="E28" s="84"/>
      <c r="F28" s="84"/>
      <c r="G28" s="61"/>
    </row>
    <row r="29" spans="1:7" s="60" customFormat="1" ht="35.25" customHeight="1">
      <c r="A29" s="58" t="s">
        <v>123</v>
      </c>
      <c r="B29" s="17" t="s">
        <v>389</v>
      </c>
      <c r="C29" s="91" t="e">
        <f t="shared" si="0"/>
        <v>#REF!</v>
      </c>
      <c r="D29" s="83" t="e">
        <f>#REF!</f>
        <v>#REF!</v>
      </c>
      <c r="E29" s="84"/>
      <c r="F29" s="84"/>
      <c r="G29" s="61"/>
    </row>
    <row r="30" spans="1:7" s="60" customFormat="1" ht="34.5" customHeight="1">
      <c r="A30" s="58" t="s">
        <v>170</v>
      </c>
      <c r="B30" s="18" t="s">
        <v>371</v>
      </c>
      <c r="C30" s="91">
        <f t="shared" si="0"/>
        <v>51064</v>
      </c>
      <c r="D30" s="83"/>
      <c r="E30" s="83">
        <f>'2014 '!H13</f>
        <v>51064</v>
      </c>
      <c r="F30" s="84"/>
      <c r="G30" s="48"/>
    </row>
    <row r="31" spans="1:7" s="60" customFormat="1" ht="32.25" customHeight="1">
      <c r="A31" s="58" t="s">
        <v>178</v>
      </c>
      <c r="B31" s="18" t="s">
        <v>372</v>
      </c>
      <c r="C31" s="91">
        <f t="shared" si="0"/>
        <v>35952</v>
      </c>
      <c r="D31" s="83"/>
      <c r="E31" s="83">
        <f>'2014 '!H14</f>
        <v>35952</v>
      </c>
      <c r="F31" s="84"/>
      <c r="G31" s="61"/>
    </row>
    <row r="32" spans="1:7" s="60" customFormat="1" ht="35.25" customHeight="1">
      <c r="A32" s="58" t="s">
        <v>124</v>
      </c>
      <c r="B32" s="18" t="s">
        <v>373</v>
      </c>
      <c r="C32" s="91">
        <f t="shared" si="0"/>
        <v>31776</v>
      </c>
      <c r="D32" s="83"/>
      <c r="E32" s="83">
        <f>'2014 '!H15</f>
        <v>31776</v>
      </c>
      <c r="F32" s="84"/>
    </row>
    <row r="33" spans="1:6" s="60" customFormat="1" ht="32.25" customHeight="1">
      <c r="A33" s="58" t="s">
        <v>179</v>
      </c>
      <c r="B33" s="18" t="s">
        <v>390</v>
      </c>
      <c r="C33" s="91">
        <f t="shared" si="0"/>
        <v>62164</v>
      </c>
      <c r="D33" s="83"/>
      <c r="E33" s="83">
        <f>'2014 '!H16</f>
        <v>62164</v>
      </c>
      <c r="F33" s="84"/>
    </row>
    <row r="34" spans="1:6" s="60" customFormat="1" ht="21.75" customHeight="1">
      <c r="A34" s="58" t="s">
        <v>150</v>
      </c>
      <c r="B34" s="18" t="s">
        <v>86</v>
      </c>
      <c r="C34" s="91">
        <f t="shared" si="0"/>
        <v>109865</v>
      </c>
      <c r="D34" s="83"/>
      <c r="E34" s="83">
        <f>'2014 '!H17</f>
        <v>109865</v>
      </c>
      <c r="F34" s="84"/>
    </row>
    <row r="35" spans="1:6" s="60" customFormat="1" ht="31.2">
      <c r="A35" s="58" t="s">
        <v>151</v>
      </c>
      <c r="B35" s="18" t="s">
        <v>374</v>
      </c>
      <c r="C35" s="91">
        <f t="shared" si="0"/>
        <v>87543</v>
      </c>
      <c r="D35" s="83"/>
      <c r="E35" s="83">
        <f>'2014 '!H18</f>
        <v>87543</v>
      </c>
      <c r="F35" s="84"/>
    </row>
    <row r="36" spans="1:6" s="60" customFormat="1" ht="32.25" customHeight="1">
      <c r="A36" s="58" t="s">
        <v>152</v>
      </c>
      <c r="B36" s="18" t="s">
        <v>375</v>
      </c>
      <c r="C36" s="91">
        <f t="shared" si="0"/>
        <v>126608</v>
      </c>
      <c r="D36" s="83"/>
      <c r="E36" s="83">
        <f>'2014 '!H19</f>
        <v>126608</v>
      </c>
      <c r="F36" s="84"/>
    </row>
    <row r="37" spans="1:6" s="60" customFormat="1" ht="32.25" customHeight="1">
      <c r="A37" s="58" t="s">
        <v>153</v>
      </c>
      <c r="B37" s="16" t="s">
        <v>376</v>
      </c>
      <c r="C37" s="91">
        <f t="shared" si="0"/>
        <v>153520</v>
      </c>
      <c r="D37" s="83"/>
      <c r="E37" s="83"/>
      <c r="F37" s="84">
        <f>'2015'!H13</f>
        <v>153520</v>
      </c>
    </row>
    <row r="38" spans="1:6" s="60" customFormat="1" ht="33.75" customHeight="1">
      <c r="A38" s="58" t="s">
        <v>154</v>
      </c>
      <c r="B38" s="16" t="s">
        <v>377</v>
      </c>
      <c r="C38" s="91">
        <f t="shared" si="0"/>
        <v>97910</v>
      </c>
      <c r="D38" s="83"/>
      <c r="E38" s="83"/>
      <c r="F38" s="84">
        <f>'2015'!H14</f>
        <v>97910</v>
      </c>
    </row>
    <row r="39" spans="1:6" s="60" customFormat="1" ht="22.5" customHeight="1">
      <c r="A39" s="58" t="s">
        <v>180</v>
      </c>
      <c r="B39" s="17" t="s">
        <v>378</v>
      </c>
      <c r="C39" s="91">
        <f t="shared" si="0"/>
        <v>28392</v>
      </c>
      <c r="D39" s="83"/>
      <c r="E39" s="83"/>
      <c r="F39" s="84">
        <f>'2015'!H15</f>
        <v>28392</v>
      </c>
    </row>
    <row r="40" spans="1:6" s="60" customFormat="1" ht="30.75" customHeight="1">
      <c r="A40" s="58" t="s">
        <v>181</v>
      </c>
      <c r="B40" s="16" t="s">
        <v>379</v>
      </c>
      <c r="C40" s="91">
        <f t="shared" si="0"/>
        <v>165220</v>
      </c>
      <c r="D40" s="83"/>
      <c r="E40" s="83"/>
      <c r="F40" s="84">
        <f>'2015'!H16</f>
        <v>165220</v>
      </c>
    </row>
    <row r="41" spans="1:6" s="60" customFormat="1" ht="38.25" customHeight="1">
      <c r="A41" s="58" t="s">
        <v>182</v>
      </c>
      <c r="B41" s="16" t="s">
        <v>380</v>
      </c>
      <c r="C41" s="91">
        <f t="shared" si="0"/>
        <v>129005</v>
      </c>
      <c r="D41" s="83"/>
      <c r="E41" s="83"/>
      <c r="F41" s="84">
        <f>'2015'!H17</f>
        <v>129005</v>
      </c>
    </row>
    <row r="42" spans="1:6" s="60" customFormat="1" ht="33" customHeight="1">
      <c r="A42" s="58" t="s">
        <v>171</v>
      </c>
      <c r="B42" s="82" t="s">
        <v>391</v>
      </c>
      <c r="C42" s="91">
        <f t="shared" si="0"/>
        <v>0</v>
      </c>
      <c r="D42" s="83"/>
      <c r="E42" s="83"/>
      <c r="F42" s="84"/>
    </row>
    <row r="43" spans="1:6" s="60" customFormat="1" ht="33" customHeight="1">
      <c r="A43" s="58" t="s">
        <v>183</v>
      </c>
      <c r="B43" s="82" t="s">
        <v>381</v>
      </c>
      <c r="C43" s="91">
        <f t="shared" si="0"/>
        <v>0</v>
      </c>
      <c r="D43" s="83"/>
      <c r="E43" s="83"/>
      <c r="F43" s="84"/>
    </row>
    <row r="44" spans="1:6" s="60" customFormat="1" ht="31.5" customHeight="1">
      <c r="A44" s="58" t="s">
        <v>172</v>
      </c>
      <c r="B44" s="82" t="s">
        <v>382</v>
      </c>
      <c r="C44" s="91">
        <f t="shared" si="0"/>
        <v>0</v>
      </c>
      <c r="D44" s="83"/>
      <c r="E44" s="83"/>
      <c r="F44" s="84"/>
    </row>
    <row r="45" spans="1:6" s="60" customFormat="1" ht="46.8">
      <c r="A45" s="58" t="s">
        <v>173</v>
      </c>
      <c r="B45" s="82" t="s">
        <v>383</v>
      </c>
      <c r="C45" s="91">
        <f t="shared" si="0"/>
        <v>0</v>
      </c>
      <c r="D45" s="83"/>
      <c r="E45" s="83"/>
      <c r="F45" s="84"/>
    </row>
    <row r="46" spans="1:6" s="60" customFormat="1" ht="37.5" customHeight="1">
      <c r="A46" s="58" t="s">
        <v>184</v>
      </c>
      <c r="B46" s="82" t="s">
        <v>387</v>
      </c>
      <c r="C46" s="91">
        <f t="shared" si="0"/>
        <v>0</v>
      </c>
      <c r="D46" s="83"/>
      <c r="E46" s="83"/>
      <c r="F46" s="84"/>
    </row>
    <row r="47" spans="1:6" s="60" customFormat="1" ht="48" customHeight="1">
      <c r="A47" s="58" t="s">
        <v>323</v>
      </c>
      <c r="B47" s="82" t="s">
        <v>384</v>
      </c>
      <c r="C47" s="91">
        <f t="shared" si="0"/>
        <v>0</v>
      </c>
      <c r="D47" s="83"/>
      <c r="E47" s="83"/>
      <c r="F47" s="84"/>
    </row>
    <row r="48" spans="1:6" s="60" customFormat="1" ht="37.5" customHeight="1">
      <c r="A48" s="58" t="s">
        <v>324</v>
      </c>
      <c r="B48" s="82" t="s">
        <v>386</v>
      </c>
      <c r="C48" s="91">
        <f t="shared" si="0"/>
        <v>0</v>
      </c>
      <c r="D48" s="83"/>
      <c r="E48" s="83"/>
      <c r="F48" s="84"/>
    </row>
    <row r="49" spans="1:7" s="60" customFormat="1" ht="37.5" customHeight="1">
      <c r="A49" s="58" t="s">
        <v>325</v>
      </c>
      <c r="B49" s="82" t="s">
        <v>385</v>
      </c>
      <c r="C49" s="91">
        <f t="shared" si="0"/>
        <v>0</v>
      </c>
      <c r="D49" s="83"/>
      <c r="E49" s="83"/>
      <c r="F49" s="84"/>
    </row>
    <row r="50" spans="1:7" s="60" customFormat="1" ht="37.5" customHeight="1">
      <c r="A50" s="58" t="s">
        <v>326</v>
      </c>
      <c r="B50" s="82" t="s">
        <v>388</v>
      </c>
      <c r="C50" s="91">
        <f t="shared" si="0"/>
        <v>0</v>
      </c>
      <c r="D50" s="83"/>
      <c r="E50" s="83"/>
      <c r="F50" s="84"/>
    </row>
    <row r="51" spans="1:7" s="60" customFormat="1" ht="27.75" customHeight="1">
      <c r="A51" s="23">
        <v>2</v>
      </c>
      <c r="B51" s="88" t="s">
        <v>185</v>
      </c>
      <c r="C51" s="91" t="e">
        <f t="shared" si="0"/>
        <v>#REF!</v>
      </c>
      <c r="D51" s="89" t="e">
        <f>D52+D53</f>
        <v>#REF!</v>
      </c>
      <c r="E51" s="89">
        <f t="shared" ref="E51:F51" si="1">E52+E53</f>
        <v>450120</v>
      </c>
      <c r="F51" s="89">
        <f t="shared" si="1"/>
        <v>450313</v>
      </c>
    </row>
    <row r="52" spans="1:7" s="60" customFormat="1" ht="30" customHeight="1">
      <c r="A52" s="90" t="s">
        <v>186</v>
      </c>
      <c r="B52" s="25" t="s">
        <v>68</v>
      </c>
      <c r="C52" s="91" t="e">
        <f t="shared" si="0"/>
        <v>#REF!</v>
      </c>
      <c r="D52" s="86" t="e">
        <f>#REF!</f>
        <v>#REF!</v>
      </c>
      <c r="E52" s="86">
        <f>'2014 '!H42</f>
        <v>450120</v>
      </c>
      <c r="F52" s="86">
        <f>'2015'!H44</f>
        <v>450313</v>
      </c>
    </row>
    <row r="53" spans="1:7" s="60" customFormat="1" ht="46.8">
      <c r="A53" s="90" t="s">
        <v>187</v>
      </c>
      <c r="B53" s="82" t="s">
        <v>177</v>
      </c>
      <c r="C53" s="91">
        <f t="shared" si="0"/>
        <v>0</v>
      </c>
      <c r="D53" s="86"/>
      <c r="E53" s="87"/>
      <c r="F53" s="87"/>
    </row>
    <row r="54" spans="1:7" s="60" customFormat="1" ht="21" customHeight="1">
      <c r="A54" s="63" t="s">
        <v>9</v>
      </c>
      <c r="B54" s="24" t="s">
        <v>119</v>
      </c>
      <c r="C54" s="28" t="e">
        <f>D54+E54+F54</f>
        <v>#REF!</v>
      </c>
      <c r="D54" s="85" t="e">
        <f>D55+D67</f>
        <v>#REF!</v>
      </c>
      <c r="E54" s="85" t="e">
        <f>E55+E67</f>
        <v>#REF!</v>
      </c>
      <c r="F54" s="85" t="e">
        <f>F55+F67</f>
        <v>#REF!</v>
      </c>
    </row>
    <row r="55" spans="1:7" s="60" customFormat="1">
      <c r="A55" s="58"/>
      <c r="B55" s="33" t="s">
        <v>43</v>
      </c>
      <c r="C55" s="91" t="e">
        <f t="shared" ref="C55:C73" si="2">D55+E55+F55</f>
        <v>#REF!</v>
      </c>
      <c r="D55" s="85" t="e">
        <f>SUM(D56:D66)</f>
        <v>#REF!</v>
      </c>
      <c r="E55" s="85" t="e">
        <f>SUM(E56:E66)</f>
        <v>#REF!</v>
      </c>
      <c r="F55" s="85" t="e">
        <f>SUM(F56:F66)</f>
        <v>#REF!</v>
      </c>
    </row>
    <row r="56" spans="1:7" s="60" customFormat="1" ht="35.25" customHeight="1">
      <c r="A56" s="64" t="s">
        <v>155</v>
      </c>
      <c r="B56" s="223" t="s">
        <v>453</v>
      </c>
      <c r="C56" s="91" t="e">
        <f t="shared" si="2"/>
        <v>#REF!</v>
      </c>
      <c r="D56" s="35" t="e">
        <f>#REF!</f>
        <v>#REF!</v>
      </c>
      <c r="E56" s="22"/>
      <c r="F56" s="59"/>
      <c r="G56" s="66"/>
    </row>
    <row r="57" spans="1:7" s="60" customFormat="1" ht="19.5" customHeight="1">
      <c r="A57" s="64" t="s">
        <v>156</v>
      </c>
      <c r="B57" s="224" t="s">
        <v>243</v>
      </c>
      <c r="C57" s="91" t="e">
        <f t="shared" si="2"/>
        <v>#REF!</v>
      </c>
      <c r="D57" s="302" t="e">
        <f>#REF!</f>
        <v>#REF!</v>
      </c>
      <c r="E57" s="22"/>
      <c r="F57" s="62"/>
      <c r="G57" s="66"/>
    </row>
    <row r="58" spans="1:7" s="60" customFormat="1">
      <c r="A58" s="64" t="s">
        <v>157</v>
      </c>
      <c r="B58" s="25" t="s">
        <v>451</v>
      </c>
      <c r="C58" s="91" t="e">
        <f t="shared" si="2"/>
        <v>#REF!</v>
      </c>
      <c r="D58" s="35" t="e">
        <f>#REF!</f>
        <v>#REF!</v>
      </c>
      <c r="E58" s="22"/>
      <c r="F58" s="62"/>
      <c r="G58" s="66"/>
    </row>
    <row r="59" spans="1:7" s="60" customFormat="1">
      <c r="A59" s="64" t="s">
        <v>158</v>
      </c>
      <c r="B59" s="303" t="s">
        <v>452</v>
      </c>
      <c r="C59" s="91" t="e">
        <f t="shared" si="2"/>
        <v>#REF!</v>
      </c>
      <c r="D59" s="35" t="e">
        <f>#REF!</f>
        <v>#REF!</v>
      </c>
      <c r="E59" s="22"/>
      <c r="F59" s="62"/>
      <c r="G59" s="66"/>
    </row>
    <row r="60" spans="1:7" s="60" customFormat="1" ht="31.2">
      <c r="A60" s="64" t="s">
        <v>159</v>
      </c>
      <c r="B60" s="304" t="s">
        <v>284</v>
      </c>
      <c r="C60" s="91" t="e">
        <f t="shared" si="2"/>
        <v>#REF!</v>
      </c>
      <c r="D60" s="35"/>
      <c r="E60" s="22" t="e">
        <f>#REF!</f>
        <v>#REF!</v>
      </c>
      <c r="F60" s="62"/>
      <c r="G60" s="66"/>
    </row>
    <row r="61" spans="1:7" s="60" customFormat="1">
      <c r="A61" s="64" t="s">
        <v>160</v>
      </c>
      <c r="B61" s="304" t="s">
        <v>286</v>
      </c>
      <c r="C61" s="91" t="e">
        <f t="shared" si="2"/>
        <v>#REF!</v>
      </c>
      <c r="D61" s="35"/>
      <c r="E61" s="22" t="e">
        <f>#REF!</f>
        <v>#REF!</v>
      </c>
      <c r="F61" s="62"/>
      <c r="G61" s="66"/>
    </row>
    <row r="62" spans="1:7" s="60" customFormat="1">
      <c r="A62" s="64" t="s">
        <v>161</v>
      </c>
      <c r="B62" s="304" t="s">
        <v>288</v>
      </c>
      <c r="C62" s="91" t="e">
        <f t="shared" si="2"/>
        <v>#REF!</v>
      </c>
      <c r="D62" s="35"/>
      <c r="E62" s="22" t="e">
        <f>#REF!</f>
        <v>#REF!</v>
      </c>
      <c r="F62" s="62"/>
      <c r="G62" s="66"/>
    </row>
    <row r="63" spans="1:7" s="60" customFormat="1">
      <c r="A63" s="64" t="s">
        <v>162</v>
      </c>
      <c r="B63" s="305" t="s">
        <v>500</v>
      </c>
      <c r="C63" s="91" t="e">
        <f t="shared" si="2"/>
        <v>#REF!</v>
      </c>
      <c r="D63" s="35"/>
      <c r="E63" s="306" t="e">
        <f>#REF!</f>
        <v>#REF!</v>
      </c>
      <c r="F63" s="62"/>
      <c r="G63" s="66"/>
    </row>
    <row r="64" spans="1:7" s="60" customFormat="1">
      <c r="A64" s="64" t="s">
        <v>163</v>
      </c>
      <c r="B64" s="19" t="s">
        <v>596</v>
      </c>
      <c r="C64" s="91" t="e">
        <f t="shared" si="2"/>
        <v>#REF!</v>
      </c>
      <c r="D64" s="35"/>
      <c r="E64" s="22" t="e">
        <f>#REF!</f>
        <v>#REF!</v>
      </c>
      <c r="F64" s="62"/>
      <c r="G64" s="66"/>
    </row>
    <row r="65" spans="1:7" s="60" customFormat="1" ht="46.8">
      <c r="A65" s="64"/>
      <c r="B65" s="304" t="s">
        <v>306</v>
      </c>
      <c r="C65" s="91" t="e">
        <f t="shared" si="2"/>
        <v>#REF!</v>
      </c>
      <c r="D65" s="35"/>
      <c r="E65" s="22"/>
      <c r="F65" s="62" t="e">
        <f>#REF!</f>
        <v>#REF!</v>
      </c>
      <c r="G65" s="66"/>
    </row>
    <row r="66" spans="1:7" s="60" customFormat="1">
      <c r="A66" s="64"/>
      <c r="B66" s="304" t="s">
        <v>308</v>
      </c>
      <c r="C66" s="91" t="e">
        <f t="shared" si="2"/>
        <v>#REF!</v>
      </c>
      <c r="D66" s="35"/>
      <c r="E66" s="22"/>
      <c r="F66" s="62" t="e">
        <f>#REF!</f>
        <v>#REF!</v>
      </c>
      <c r="G66" s="66"/>
    </row>
    <row r="67" spans="1:7" s="60" customFormat="1">
      <c r="A67" s="64" t="s">
        <v>162</v>
      </c>
      <c r="B67" s="33" t="s">
        <v>49</v>
      </c>
      <c r="C67" s="91">
        <f t="shared" si="2"/>
        <v>0</v>
      </c>
      <c r="D67" s="67"/>
      <c r="E67" s="67"/>
      <c r="F67" s="67"/>
    </row>
    <row r="68" spans="1:7" s="60" customFormat="1">
      <c r="A68" s="64" t="s">
        <v>163</v>
      </c>
      <c r="B68" s="19" t="s">
        <v>50</v>
      </c>
      <c r="C68" s="91">
        <f t="shared" si="2"/>
        <v>0</v>
      </c>
      <c r="D68" s="22"/>
      <c r="E68" s="59"/>
      <c r="F68" s="62"/>
    </row>
    <row r="69" spans="1:7" s="60" customFormat="1">
      <c r="A69" s="64" t="s">
        <v>164</v>
      </c>
      <c r="B69" s="19" t="s">
        <v>120</v>
      </c>
      <c r="C69" s="91">
        <f t="shared" si="2"/>
        <v>0</v>
      </c>
      <c r="D69" s="22"/>
      <c r="E69" s="59"/>
      <c r="F69" s="62"/>
    </row>
    <row r="70" spans="1:7" s="60" customFormat="1">
      <c r="A70" s="64" t="s">
        <v>165</v>
      </c>
      <c r="B70" s="92" t="s">
        <v>192</v>
      </c>
      <c r="C70" s="91">
        <f t="shared" si="2"/>
        <v>0</v>
      </c>
      <c r="D70" s="22"/>
      <c r="E70" s="59"/>
      <c r="F70" s="62"/>
    </row>
    <row r="71" spans="1:7" s="60" customFormat="1">
      <c r="A71" s="64" t="s">
        <v>166</v>
      </c>
      <c r="B71" s="93" t="s">
        <v>193</v>
      </c>
      <c r="C71" s="91">
        <f t="shared" si="2"/>
        <v>0</v>
      </c>
      <c r="D71" s="22"/>
      <c r="E71" s="59"/>
      <c r="F71" s="62"/>
    </row>
    <row r="72" spans="1:7" s="60" customFormat="1" ht="31.2">
      <c r="A72" s="64" t="s">
        <v>167</v>
      </c>
      <c r="B72" s="19" t="s">
        <v>52</v>
      </c>
      <c r="C72" s="91">
        <f t="shared" si="2"/>
        <v>0</v>
      </c>
      <c r="D72" s="22"/>
      <c r="E72" s="59"/>
      <c r="F72" s="62"/>
    </row>
    <row r="73" spans="1:7" s="60" customFormat="1">
      <c r="A73" s="64" t="s">
        <v>168</v>
      </c>
      <c r="B73" s="136" t="s">
        <v>194</v>
      </c>
      <c r="C73" s="91">
        <f t="shared" si="2"/>
        <v>0</v>
      </c>
      <c r="D73" s="22"/>
      <c r="E73" s="59"/>
      <c r="F73" s="62"/>
    </row>
    <row r="74" spans="1:7" s="60" customFormat="1">
      <c r="A74" s="68" t="s">
        <v>141</v>
      </c>
      <c r="B74" s="33" t="s">
        <v>125</v>
      </c>
      <c r="C74" s="91" t="e">
        <f>D74+E74+F74</f>
        <v>#REF!</v>
      </c>
      <c r="D74" s="67" t="e">
        <f>SUM(D75:D93)</f>
        <v>#REF!</v>
      </c>
      <c r="E74" s="67" t="e">
        <f>SUM(E75:E93)</f>
        <v>#REF!</v>
      </c>
      <c r="F74" s="67" t="e">
        <f>SUM(F75:F93)</f>
        <v>#REF!</v>
      </c>
    </row>
    <row r="75" spans="1:7" s="60" customFormat="1" ht="36" customHeight="1">
      <c r="A75" s="64" t="s">
        <v>195</v>
      </c>
      <c r="B75" s="219" t="s">
        <v>244</v>
      </c>
      <c r="C75" s="28" t="e">
        <f>D75+E75+F75</f>
        <v>#REF!</v>
      </c>
      <c r="D75" s="22" t="e">
        <f>#REF!</f>
        <v>#REF!</v>
      </c>
      <c r="E75" s="59">
        <f>'2014 '!H51</f>
        <v>1140</v>
      </c>
      <c r="F75" s="59">
        <f>'2015'!H51</f>
        <v>1231</v>
      </c>
    </row>
    <row r="76" spans="1:7" s="60" customFormat="1">
      <c r="A76" s="64" t="s">
        <v>196</v>
      </c>
      <c r="B76" s="197" t="s">
        <v>70</v>
      </c>
      <c r="C76" s="91" t="e">
        <f t="shared" ref="C76:C96" si="3">D76+E76+F76</f>
        <v>#REF!</v>
      </c>
      <c r="D76" s="22" t="e">
        <f>#REF!</f>
        <v>#REF!</v>
      </c>
      <c r="E76" s="59">
        <f>'2014 '!H52</f>
        <v>180</v>
      </c>
      <c r="F76" s="59">
        <f>'2015'!H52</f>
        <v>195</v>
      </c>
    </row>
    <row r="77" spans="1:7" s="60" customFormat="1">
      <c r="A77" s="64" t="s">
        <v>197</v>
      </c>
      <c r="B77" s="219" t="s">
        <v>454</v>
      </c>
      <c r="C77" s="91" t="e">
        <f t="shared" si="3"/>
        <v>#REF!</v>
      </c>
      <c r="D77" s="22" t="e">
        <f>#REF!</f>
        <v>#REF!</v>
      </c>
      <c r="E77" s="59">
        <v>0</v>
      </c>
      <c r="F77" s="59">
        <v>0</v>
      </c>
    </row>
    <row r="78" spans="1:7" s="60" customFormat="1" ht="31.2">
      <c r="A78" s="64" t="s">
        <v>198</v>
      </c>
      <c r="B78" s="219" t="s">
        <v>245</v>
      </c>
      <c r="C78" s="91" t="e">
        <f t="shared" si="3"/>
        <v>#REF!</v>
      </c>
      <c r="D78" s="22" t="e">
        <f>#REF!</f>
        <v>#REF!</v>
      </c>
      <c r="E78" s="59" t="e">
        <f>#REF!</f>
        <v>#REF!</v>
      </c>
      <c r="F78" s="59" t="e">
        <f>#REF!</f>
        <v>#REF!</v>
      </c>
    </row>
    <row r="79" spans="1:7" s="60" customFormat="1">
      <c r="A79" s="64"/>
      <c r="B79" s="222" t="s">
        <v>89</v>
      </c>
      <c r="C79" s="91" t="e">
        <f t="shared" si="3"/>
        <v>#REF!</v>
      </c>
      <c r="D79" s="22">
        <v>0</v>
      </c>
      <c r="E79" s="59" t="e">
        <f>#REF!</f>
        <v>#REF!</v>
      </c>
      <c r="F79" s="59">
        <v>0</v>
      </c>
    </row>
    <row r="80" spans="1:7" s="60" customFormat="1">
      <c r="A80" s="64" t="s">
        <v>199</v>
      </c>
      <c r="B80" s="20" t="s">
        <v>72</v>
      </c>
      <c r="C80" s="91" t="e">
        <f t="shared" si="3"/>
        <v>#REF!</v>
      </c>
      <c r="D80" s="22" t="e">
        <f>#REF!</f>
        <v>#REF!</v>
      </c>
      <c r="E80" s="59">
        <v>0</v>
      </c>
      <c r="F80" s="59">
        <v>0</v>
      </c>
    </row>
    <row r="81" spans="1:6" s="60" customFormat="1">
      <c r="A81" s="64" t="s">
        <v>246</v>
      </c>
      <c r="B81" s="197" t="s">
        <v>174</v>
      </c>
      <c r="C81" s="91" t="e">
        <f t="shared" si="3"/>
        <v>#REF!</v>
      </c>
      <c r="D81" s="22" t="e">
        <f>#REF!</f>
        <v>#REF!</v>
      </c>
      <c r="E81" s="59">
        <v>0</v>
      </c>
      <c r="F81" s="59" t="e">
        <f>#REF!</f>
        <v>#REF!</v>
      </c>
    </row>
    <row r="82" spans="1:6" s="60" customFormat="1">
      <c r="A82" s="64" t="s">
        <v>247</v>
      </c>
      <c r="B82" s="219" t="s">
        <v>74</v>
      </c>
      <c r="C82" s="91" t="e">
        <f t="shared" si="3"/>
        <v>#REF!</v>
      </c>
      <c r="D82" s="22" t="e">
        <f>#REF!</f>
        <v>#REF!</v>
      </c>
      <c r="E82" s="59">
        <v>0</v>
      </c>
      <c r="F82" s="59">
        <v>0</v>
      </c>
    </row>
    <row r="83" spans="1:6" s="60" customFormat="1">
      <c r="A83" s="64" t="s">
        <v>248</v>
      </c>
      <c r="B83" s="197" t="s">
        <v>175</v>
      </c>
      <c r="C83" s="91" t="e">
        <f t="shared" si="3"/>
        <v>#REF!</v>
      </c>
      <c r="D83" s="22" t="e">
        <f>#REF!</f>
        <v>#REF!</v>
      </c>
      <c r="E83" s="59">
        <v>0</v>
      </c>
      <c r="F83" s="59">
        <f>'2015'!H56</f>
        <v>251</v>
      </c>
    </row>
    <row r="84" spans="1:6" s="60" customFormat="1">
      <c r="A84" s="64" t="s">
        <v>249</v>
      </c>
      <c r="B84" s="19" t="s">
        <v>75</v>
      </c>
      <c r="C84" s="91" t="e">
        <f t="shared" si="3"/>
        <v>#REF!</v>
      </c>
      <c r="D84" s="22" t="e">
        <f>#REF!</f>
        <v>#REF!</v>
      </c>
      <c r="E84" s="59" t="e">
        <f>#REF!</f>
        <v>#REF!</v>
      </c>
      <c r="F84" s="59" t="e">
        <f>#REF!</f>
        <v>#REF!</v>
      </c>
    </row>
    <row r="85" spans="1:6" s="60" customFormat="1">
      <c r="A85" s="64" t="s">
        <v>328</v>
      </c>
      <c r="B85" s="219" t="s">
        <v>454</v>
      </c>
      <c r="C85" s="91" t="e">
        <f t="shared" si="3"/>
        <v>#REF!</v>
      </c>
      <c r="D85" s="22" t="e">
        <f>#REF!</f>
        <v>#REF!</v>
      </c>
      <c r="E85" s="59">
        <v>0</v>
      </c>
      <c r="F85" s="59">
        <v>0</v>
      </c>
    </row>
    <row r="86" spans="1:6" s="60" customFormat="1" ht="31.2">
      <c r="A86" s="64" t="s">
        <v>329</v>
      </c>
      <c r="B86" s="219" t="s">
        <v>455</v>
      </c>
      <c r="C86" s="91" t="e">
        <f t="shared" si="3"/>
        <v>#REF!</v>
      </c>
      <c r="D86" s="22" t="e">
        <f>#REF!</f>
        <v>#REF!</v>
      </c>
      <c r="E86" s="59">
        <v>0</v>
      </c>
      <c r="F86" s="59">
        <v>0</v>
      </c>
    </row>
    <row r="87" spans="1:6" s="60" customFormat="1" ht="31.2">
      <c r="A87" s="64" t="s">
        <v>330</v>
      </c>
      <c r="B87" s="219" t="s">
        <v>456</v>
      </c>
      <c r="C87" s="91" t="e">
        <f t="shared" si="3"/>
        <v>#REF!</v>
      </c>
      <c r="D87" s="22" t="e">
        <f>#REF!</f>
        <v>#REF!</v>
      </c>
      <c r="E87" s="59">
        <v>0</v>
      </c>
      <c r="F87" s="59">
        <v>0</v>
      </c>
    </row>
    <row r="88" spans="1:6" s="60" customFormat="1" ht="62.4">
      <c r="A88" s="64" t="s">
        <v>331</v>
      </c>
      <c r="B88" s="220" t="s">
        <v>457</v>
      </c>
      <c r="C88" s="91" t="e">
        <f t="shared" si="3"/>
        <v>#REF!</v>
      </c>
      <c r="D88" s="59">
        <v>0</v>
      </c>
      <c r="E88" s="59" t="e">
        <f>#REF!</f>
        <v>#REF!</v>
      </c>
      <c r="F88" s="59">
        <v>0</v>
      </c>
    </row>
    <row r="89" spans="1:6" s="60" customFormat="1" ht="31.2">
      <c r="A89" s="64" t="s">
        <v>332</v>
      </c>
      <c r="B89" s="220" t="s">
        <v>458</v>
      </c>
      <c r="C89" s="91" t="e">
        <f t="shared" si="3"/>
        <v>#REF!</v>
      </c>
      <c r="D89" s="59">
        <v>0</v>
      </c>
      <c r="E89" s="59" t="e">
        <f>#REF!</f>
        <v>#REF!</v>
      </c>
      <c r="F89" s="59">
        <v>0</v>
      </c>
    </row>
    <row r="90" spans="1:6" s="60" customFormat="1">
      <c r="A90" s="64" t="s">
        <v>333</v>
      </c>
      <c r="B90" s="220" t="s">
        <v>459</v>
      </c>
      <c r="C90" s="91" t="e">
        <f t="shared" si="3"/>
        <v>#REF!</v>
      </c>
      <c r="D90" s="59">
        <v>0</v>
      </c>
      <c r="E90" s="59" t="e">
        <f>#REF!</f>
        <v>#REF!</v>
      </c>
      <c r="F90" s="59">
        <v>0</v>
      </c>
    </row>
    <row r="91" spans="1:6" s="60" customFormat="1">
      <c r="A91" s="64" t="s">
        <v>334</v>
      </c>
      <c r="B91" s="221" t="s">
        <v>460</v>
      </c>
      <c r="C91" s="91" t="e">
        <f t="shared" si="3"/>
        <v>#REF!</v>
      </c>
      <c r="D91" s="59">
        <v>0</v>
      </c>
      <c r="E91" s="59">
        <v>0</v>
      </c>
      <c r="F91" s="59" t="e">
        <f>#REF!</f>
        <v>#REF!</v>
      </c>
    </row>
    <row r="92" spans="1:6" s="60" customFormat="1">
      <c r="A92" s="64" t="s">
        <v>335</v>
      </c>
      <c r="B92" s="221" t="s">
        <v>461</v>
      </c>
      <c r="C92" s="91" t="e">
        <f t="shared" si="3"/>
        <v>#REF!</v>
      </c>
      <c r="D92" s="59">
        <v>0</v>
      </c>
      <c r="E92" s="59">
        <v>0</v>
      </c>
      <c r="F92" s="59" t="e">
        <f>#REF!</f>
        <v>#REF!</v>
      </c>
    </row>
    <row r="93" spans="1:6" s="60" customFormat="1">
      <c r="A93" s="64" t="s">
        <v>126</v>
      </c>
      <c r="B93" s="221" t="s">
        <v>462</v>
      </c>
      <c r="C93" s="91" t="e">
        <f t="shared" si="3"/>
        <v>#REF!</v>
      </c>
      <c r="D93" s="59">
        <v>0</v>
      </c>
      <c r="E93" s="59">
        <v>0</v>
      </c>
      <c r="F93" s="59" t="e">
        <f>#REF!</f>
        <v>#REF!</v>
      </c>
    </row>
    <row r="94" spans="1:6" s="60" customFormat="1">
      <c r="A94" s="68" t="s">
        <v>142</v>
      </c>
      <c r="B94" s="69" t="s">
        <v>127</v>
      </c>
      <c r="C94" s="91" t="e">
        <f>D94+E94+F94</f>
        <v>#REF!</v>
      </c>
      <c r="D94" s="67" t="e">
        <f>SUM(D95:D101)</f>
        <v>#REF!</v>
      </c>
      <c r="E94" s="67" t="e">
        <f>SUM(E95:E101)</f>
        <v>#REF!</v>
      </c>
      <c r="F94" s="67" t="e">
        <f>SUM(F95:F101)</f>
        <v>#REF!</v>
      </c>
    </row>
    <row r="95" spans="1:6" s="60" customFormat="1">
      <c r="A95" s="117" t="s">
        <v>11</v>
      </c>
      <c r="B95" s="19" t="s">
        <v>495</v>
      </c>
      <c r="C95" s="91" t="e">
        <f t="shared" si="3"/>
        <v>#REF!</v>
      </c>
      <c r="D95" s="29" t="e">
        <f>#REF!</f>
        <v>#REF!</v>
      </c>
      <c r="E95" s="35"/>
      <c r="F95" s="35"/>
    </row>
    <row r="96" spans="1:6" s="60" customFormat="1">
      <c r="A96" s="135" t="s">
        <v>12</v>
      </c>
      <c r="B96" s="19" t="s">
        <v>502</v>
      </c>
      <c r="C96" s="91" t="e">
        <f t="shared" si="3"/>
        <v>#REF!</v>
      </c>
      <c r="D96" s="29" t="e">
        <f>#REF!</f>
        <v>#REF!</v>
      </c>
      <c r="E96" s="35" t="e">
        <f>#REF!</f>
        <v>#REF!</v>
      </c>
      <c r="F96" s="35" t="e">
        <f>#REF!</f>
        <v>#REF!</v>
      </c>
    </row>
    <row r="97" spans="1:6" s="60" customFormat="1">
      <c r="A97" s="135" t="s">
        <v>27</v>
      </c>
      <c r="B97" s="19" t="s">
        <v>295</v>
      </c>
      <c r="C97" s="91" t="e">
        <f t="shared" ref="C97:C98" si="4">D97+E97+F97</f>
        <v>#REF!</v>
      </c>
      <c r="D97" s="67"/>
      <c r="E97" s="29" t="e">
        <f>#REF!</f>
        <v>#REF!</v>
      </c>
      <c r="F97" s="67"/>
    </row>
    <row r="98" spans="1:6" s="60" customFormat="1">
      <c r="A98" s="135" t="s">
        <v>28</v>
      </c>
      <c r="B98" s="19" t="s">
        <v>313</v>
      </c>
      <c r="C98" s="91" t="e">
        <f t="shared" si="4"/>
        <v>#REF!</v>
      </c>
      <c r="D98" s="67"/>
      <c r="E98" s="67"/>
      <c r="F98" s="29" t="e">
        <f>#REF!</f>
        <v>#REF!</v>
      </c>
    </row>
    <row r="99" spans="1:6" s="60" customFormat="1" ht="31.5" customHeight="1">
      <c r="A99" s="135" t="s">
        <v>29</v>
      </c>
      <c r="B99" s="217" t="s">
        <v>595</v>
      </c>
      <c r="C99" s="91"/>
      <c r="D99" s="29" t="e">
        <f>#REF!</f>
        <v>#REF!</v>
      </c>
      <c r="E99" s="35"/>
      <c r="F99" s="35"/>
    </row>
    <row r="100" spans="1:6" s="60" customFormat="1" ht="24" customHeight="1">
      <c r="A100" s="135" t="s">
        <v>30</v>
      </c>
      <c r="B100" s="217" t="s">
        <v>499</v>
      </c>
      <c r="C100" s="91"/>
      <c r="D100" s="29" t="e">
        <f>#REF!</f>
        <v>#REF!</v>
      </c>
      <c r="E100" s="35"/>
      <c r="F100" s="35"/>
    </row>
    <row r="101" spans="1:6" s="60" customFormat="1">
      <c r="A101" s="135" t="s">
        <v>501</v>
      </c>
      <c r="B101" s="217" t="s">
        <v>597</v>
      </c>
      <c r="C101" s="91"/>
      <c r="D101" s="29"/>
      <c r="E101" s="35" t="e">
        <f>#REF!</f>
        <v>#REF!</v>
      </c>
      <c r="F101" s="35"/>
    </row>
    <row r="102" spans="1:6" s="60" customFormat="1">
      <c r="A102" s="68" t="s">
        <v>143</v>
      </c>
      <c r="B102" s="70" t="s">
        <v>128</v>
      </c>
      <c r="C102" s="28" t="e">
        <f>D102+E102+F102</f>
        <v>#REF!</v>
      </c>
      <c r="D102" s="67" t="e">
        <f>SUM(D103:D109)</f>
        <v>#REF!</v>
      </c>
      <c r="E102" s="67">
        <f>SUM(E103:E121)</f>
        <v>79166</v>
      </c>
      <c r="F102" s="67">
        <f>SUM(F103:F128)</f>
        <v>76327</v>
      </c>
    </row>
    <row r="103" spans="1:6" s="60" customFormat="1">
      <c r="A103" s="58" t="s">
        <v>201</v>
      </c>
      <c r="B103" s="36" t="s">
        <v>54</v>
      </c>
      <c r="C103" s="91" t="e">
        <f t="shared" ref="C103:C128" si="5">D103+E103+F103</f>
        <v>#REF!</v>
      </c>
      <c r="D103" s="22" t="e">
        <f>#REF!</f>
        <v>#REF!</v>
      </c>
      <c r="E103" s="59">
        <f>'2014 '!H66</f>
        <v>21467</v>
      </c>
      <c r="F103" s="62"/>
    </row>
    <row r="104" spans="1:6" s="60" customFormat="1">
      <c r="A104" s="58" t="s">
        <v>202</v>
      </c>
      <c r="B104" s="36" t="s">
        <v>200</v>
      </c>
      <c r="C104" s="91">
        <f t="shared" si="5"/>
        <v>14960</v>
      </c>
      <c r="D104" s="22"/>
      <c r="E104" s="59">
        <f>'2014 '!H69</f>
        <v>14960</v>
      </c>
      <c r="F104" s="65"/>
    </row>
    <row r="105" spans="1:6" s="60" customFormat="1">
      <c r="A105" s="58" t="s">
        <v>203</v>
      </c>
      <c r="B105" s="36" t="s">
        <v>57</v>
      </c>
      <c r="C105" s="91">
        <f t="shared" si="5"/>
        <v>4911</v>
      </c>
      <c r="D105" s="71"/>
      <c r="E105" s="59"/>
      <c r="F105" s="62">
        <f>'2015'!H65</f>
        <v>4911</v>
      </c>
    </row>
    <row r="106" spans="1:6" s="60" customFormat="1" ht="16.5" customHeight="1">
      <c r="A106" s="58" t="s">
        <v>204</v>
      </c>
      <c r="B106" s="25" t="s">
        <v>76</v>
      </c>
      <c r="C106" s="91" t="e">
        <f t="shared" si="5"/>
        <v>#REF!</v>
      </c>
      <c r="D106" s="22" t="e">
        <f>#REF!</f>
        <v>#REF!</v>
      </c>
      <c r="E106" s="59">
        <f>'2014 '!H71</f>
        <v>21332</v>
      </c>
      <c r="F106" s="62"/>
    </row>
    <row r="107" spans="1:6" s="60" customFormat="1" ht="16.5" customHeight="1">
      <c r="A107" s="58" t="s">
        <v>205</v>
      </c>
      <c r="B107" s="25" t="s">
        <v>77</v>
      </c>
      <c r="C107" s="91" t="e">
        <f t="shared" si="5"/>
        <v>#REF!</v>
      </c>
      <c r="D107" s="22" t="e">
        <f>#REF!</f>
        <v>#REF!</v>
      </c>
      <c r="E107" s="59">
        <f>'2014 '!H70</f>
        <v>7258</v>
      </c>
      <c r="F107" s="59">
        <f>'2015'!H70</f>
        <v>14701</v>
      </c>
    </row>
    <row r="108" spans="1:6" s="60" customFormat="1" ht="16.5" customHeight="1">
      <c r="A108" s="58" t="s">
        <v>206</v>
      </c>
      <c r="B108" s="25" t="s">
        <v>78</v>
      </c>
      <c r="C108" s="91" t="e">
        <f t="shared" si="5"/>
        <v>#REF!</v>
      </c>
      <c r="D108" s="22" t="e">
        <f>#REF!</f>
        <v>#REF!</v>
      </c>
      <c r="E108" s="59"/>
      <c r="F108" s="62"/>
    </row>
    <row r="109" spans="1:6" s="60" customFormat="1">
      <c r="A109" s="58" t="s">
        <v>207</v>
      </c>
      <c r="B109" s="25" t="s">
        <v>327</v>
      </c>
      <c r="C109" s="91" t="e">
        <f t="shared" si="5"/>
        <v>#REF!</v>
      </c>
      <c r="D109" s="22" t="e">
        <f>#REF!</f>
        <v>#REF!</v>
      </c>
      <c r="E109" s="59">
        <f>'2014 '!H72</f>
        <v>2320</v>
      </c>
      <c r="F109" s="62"/>
    </row>
    <row r="110" spans="1:6" s="60" customFormat="1" hidden="1">
      <c r="A110" s="58" t="s">
        <v>129</v>
      </c>
      <c r="B110" s="72" t="s">
        <v>118</v>
      </c>
      <c r="C110" s="91">
        <f t="shared" si="5"/>
        <v>0</v>
      </c>
      <c r="D110" s="22"/>
      <c r="E110" s="59"/>
      <c r="F110" s="62"/>
    </row>
    <row r="111" spans="1:6" s="60" customFormat="1" hidden="1">
      <c r="A111" s="58" t="s">
        <v>208</v>
      </c>
      <c r="B111" s="36" t="s">
        <v>10</v>
      </c>
      <c r="C111" s="91">
        <f t="shared" si="5"/>
        <v>0</v>
      </c>
      <c r="D111" s="71"/>
      <c r="E111" s="59"/>
      <c r="F111" s="62"/>
    </row>
    <row r="112" spans="1:6" s="60" customFormat="1" hidden="1">
      <c r="A112" s="58" t="s">
        <v>209</v>
      </c>
      <c r="B112" s="19" t="s">
        <v>59</v>
      </c>
      <c r="C112" s="91">
        <f t="shared" si="5"/>
        <v>0</v>
      </c>
      <c r="D112" s="42"/>
      <c r="E112" s="59"/>
      <c r="F112" s="62"/>
    </row>
    <row r="113" spans="1:6" s="60" customFormat="1" hidden="1">
      <c r="A113" s="58" t="s">
        <v>210</v>
      </c>
      <c r="B113" s="19" t="s">
        <v>60</v>
      </c>
      <c r="C113" s="91">
        <f t="shared" si="5"/>
        <v>0</v>
      </c>
      <c r="D113" s="73"/>
      <c r="E113" s="59"/>
      <c r="F113" s="62"/>
    </row>
    <row r="114" spans="1:6" s="60" customFormat="1" hidden="1">
      <c r="A114" s="58" t="s">
        <v>211</v>
      </c>
      <c r="B114" s="19" t="s">
        <v>61</v>
      </c>
      <c r="C114" s="91">
        <f t="shared" si="5"/>
        <v>0</v>
      </c>
      <c r="D114" s="59"/>
      <c r="E114" s="59"/>
      <c r="F114" s="62"/>
    </row>
    <row r="115" spans="1:6" s="60" customFormat="1" hidden="1">
      <c r="A115" s="58" t="s">
        <v>212</v>
      </c>
      <c r="B115" s="19" t="s">
        <v>62</v>
      </c>
      <c r="C115" s="91">
        <f t="shared" si="5"/>
        <v>0</v>
      </c>
      <c r="D115" s="59"/>
      <c r="E115" s="59"/>
      <c r="F115" s="62"/>
    </row>
    <row r="116" spans="1:6" s="60" customFormat="1" hidden="1">
      <c r="A116" s="58" t="s">
        <v>213</v>
      </c>
      <c r="B116" s="19" t="s">
        <v>63</v>
      </c>
      <c r="C116" s="91">
        <f t="shared" si="5"/>
        <v>0</v>
      </c>
      <c r="D116" s="59"/>
      <c r="E116" s="59"/>
      <c r="F116" s="62"/>
    </row>
    <row r="117" spans="1:6" s="60" customFormat="1" hidden="1">
      <c r="A117" s="58" t="s">
        <v>214</v>
      </c>
      <c r="B117" s="19" t="s">
        <v>64</v>
      </c>
      <c r="C117" s="91">
        <f t="shared" si="5"/>
        <v>0</v>
      </c>
      <c r="D117" s="59"/>
      <c r="E117" s="59"/>
      <c r="F117" s="62"/>
    </row>
    <row r="118" spans="1:6" s="60" customFormat="1" hidden="1">
      <c r="A118" s="58" t="s">
        <v>130</v>
      </c>
      <c r="B118" s="19" t="s">
        <v>65</v>
      </c>
      <c r="C118" s="91">
        <f t="shared" si="5"/>
        <v>0</v>
      </c>
      <c r="D118" s="59"/>
      <c r="E118" s="59"/>
      <c r="F118" s="62"/>
    </row>
    <row r="119" spans="1:6" s="60" customFormat="1" hidden="1">
      <c r="A119" s="58" t="s">
        <v>215</v>
      </c>
      <c r="B119" s="19" t="s">
        <v>66</v>
      </c>
      <c r="C119" s="91">
        <f t="shared" si="5"/>
        <v>0</v>
      </c>
      <c r="D119" s="59"/>
      <c r="E119" s="59"/>
      <c r="F119" s="62"/>
    </row>
    <row r="120" spans="1:6" s="60" customFormat="1">
      <c r="A120" s="58" t="s">
        <v>131</v>
      </c>
      <c r="B120" s="25" t="s">
        <v>91</v>
      </c>
      <c r="C120" s="91">
        <f t="shared" si="5"/>
        <v>8251</v>
      </c>
      <c r="D120" s="59"/>
      <c r="E120" s="59">
        <f>'2014 '!H67</f>
        <v>8251</v>
      </c>
      <c r="F120" s="62"/>
    </row>
    <row r="121" spans="1:6" s="60" customFormat="1">
      <c r="A121" s="58" t="s">
        <v>132</v>
      </c>
      <c r="B121" s="25" t="s">
        <v>93</v>
      </c>
      <c r="C121" s="91">
        <f t="shared" si="5"/>
        <v>3578</v>
      </c>
      <c r="D121" s="59"/>
      <c r="E121" s="59">
        <f>'2014 '!H68</f>
        <v>3578</v>
      </c>
      <c r="F121" s="62"/>
    </row>
    <row r="122" spans="1:6" s="60" customFormat="1">
      <c r="A122" s="58" t="s">
        <v>216</v>
      </c>
      <c r="B122" s="19" t="s">
        <v>104</v>
      </c>
      <c r="C122" s="91">
        <f t="shared" si="5"/>
        <v>4829</v>
      </c>
      <c r="D122" s="59"/>
      <c r="E122" s="59"/>
      <c r="F122" s="62">
        <f>'2015'!H64</f>
        <v>4829</v>
      </c>
    </row>
    <row r="123" spans="1:6" s="60" customFormat="1">
      <c r="A123" s="58" t="s">
        <v>217</v>
      </c>
      <c r="B123" s="19" t="s">
        <v>107</v>
      </c>
      <c r="C123" s="91">
        <f t="shared" si="5"/>
        <v>11846</v>
      </c>
      <c r="D123" s="59"/>
      <c r="E123" s="59"/>
      <c r="F123" s="62">
        <f>'2015'!H66</f>
        <v>11846</v>
      </c>
    </row>
    <row r="124" spans="1:6" s="60" customFormat="1">
      <c r="A124" s="58" t="s">
        <v>218</v>
      </c>
      <c r="B124" s="19" t="s">
        <v>109</v>
      </c>
      <c r="C124" s="91">
        <f t="shared" si="5"/>
        <v>11349</v>
      </c>
      <c r="D124" s="59"/>
      <c r="E124" s="59"/>
      <c r="F124" s="62">
        <f>'2015'!H67</f>
        <v>11349</v>
      </c>
    </row>
    <row r="125" spans="1:6" s="60" customFormat="1">
      <c r="A125" s="58" t="s">
        <v>219</v>
      </c>
      <c r="B125" s="19" t="s">
        <v>111</v>
      </c>
      <c r="C125" s="91">
        <f t="shared" si="5"/>
        <v>2518</v>
      </c>
      <c r="D125" s="59"/>
      <c r="E125" s="59"/>
      <c r="F125" s="62">
        <f>'2015'!H68</f>
        <v>2518</v>
      </c>
    </row>
    <row r="126" spans="1:6" s="60" customFormat="1">
      <c r="A126" s="58" t="s">
        <v>133</v>
      </c>
      <c r="B126" s="19" t="s">
        <v>113</v>
      </c>
      <c r="C126" s="91">
        <f t="shared" si="5"/>
        <v>3078</v>
      </c>
      <c r="D126" s="59"/>
      <c r="E126" s="59"/>
      <c r="F126" s="62">
        <f>'2015'!H69</f>
        <v>3078</v>
      </c>
    </row>
    <row r="127" spans="1:6" s="60" customFormat="1">
      <c r="A127" s="58" t="s">
        <v>336</v>
      </c>
      <c r="B127" s="19" t="s">
        <v>115</v>
      </c>
      <c r="C127" s="91">
        <f t="shared" si="5"/>
        <v>12677</v>
      </c>
      <c r="D127" s="59"/>
      <c r="E127" s="59"/>
      <c r="F127" s="62">
        <f>'2015'!H71</f>
        <v>12677</v>
      </c>
    </row>
    <row r="128" spans="1:6" s="60" customFormat="1">
      <c r="A128" s="58" t="s">
        <v>337</v>
      </c>
      <c r="B128" s="19" t="s">
        <v>117</v>
      </c>
      <c r="C128" s="91">
        <f t="shared" si="5"/>
        <v>10418</v>
      </c>
      <c r="D128" s="59"/>
      <c r="E128" s="59"/>
      <c r="F128" s="62">
        <f>'2015'!H72</f>
        <v>10418</v>
      </c>
    </row>
    <row r="129" spans="1:6" s="60" customFormat="1" ht="18" customHeight="1">
      <c r="A129" s="68" t="s">
        <v>144</v>
      </c>
      <c r="B129" s="72" t="s">
        <v>134</v>
      </c>
      <c r="C129" s="74" t="e">
        <f>D129+E129+F129</f>
        <v>#REF!</v>
      </c>
      <c r="D129" s="67">
        <f>SUM(D130:D143)</f>
        <v>1740.7245714285714</v>
      </c>
      <c r="E129" s="67">
        <f>SUM(E130:E143)</f>
        <v>887.125</v>
      </c>
      <c r="F129" s="67" t="e">
        <f>#REF!</f>
        <v>#REF!</v>
      </c>
    </row>
    <row r="130" spans="1:6" s="60" customFormat="1" ht="18" customHeight="1">
      <c r="A130" s="204" t="s">
        <v>259</v>
      </c>
      <c r="B130" s="205" t="s">
        <v>478</v>
      </c>
      <c r="C130" s="74">
        <f t="shared" ref="C130:C143" si="6">D130+E130+F130</f>
        <v>211.11160714285711</v>
      </c>
      <c r="D130" s="212">
        <f>44000/1000</f>
        <v>44</v>
      </c>
      <c r="E130" s="35">
        <f>116640/1.12/1000</f>
        <v>104.14285714285712</v>
      </c>
      <c r="F130" s="35">
        <f>70525/1.12/1000</f>
        <v>62.968749999999993</v>
      </c>
    </row>
    <row r="131" spans="1:6" s="60" customFormat="1" ht="18" customHeight="1">
      <c r="A131" s="204" t="s">
        <v>260</v>
      </c>
      <c r="B131" s="205" t="s">
        <v>493</v>
      </c>
      <c r="C131" s="74">
        <f t="shared" si="6"/>
        <v>218.7</v>
      </c>
      <c r="D131" s="212"/>
      <c r="E131" s="35">
        <f>87480/1.12/1000</f>
        <v>78.107142857142861</v>
      </c>
      <c r="F131" s="35">
        <f>157464/1.12/1000</f>
        <v>140.59285714285713</v>
      </c>
    </row>
    <row r="132" spans="1:6" s="60" customFormat="1" ht="18" customHeight="1">
      <c r="A132" s="204" t="s">
        <v>261</v>
      </c>
      <c r="B132" s="206" t="s">
        <v>488</v>
      </c>
      <c r="C132" s="74">
        <f t="shared" si="6"/>
        <v>89.84778571428572</v>
      </c>
      <c r="D132" s="212">
        <f>23571/1000</f>
        <v>23.571000000000002</v>
      </c>
      <c r="E132" s="35">
        <f>41011/1.12/1000</f>
        <v>36.616964285714282</v>
      </c>
      <c r="F132" s="35">
        <f>33219/1.12/1000</f>
        <v>29.659821428571426</v>
      </c>
    </row>
    <row r="133" spans="1:6" s="60" customFormat="1" ht="18" customHeight="1">
      <c r="A133" s="204" t="s">
        <v>262</v>
      </c>
      <c r="B133" s="206" t="s">
        <v>479</v>
      </c>
      <c r="C133" s="74">
        <f t="shared" si="6"/>
        <v>313.54464285714283</v>
      </c>
      <c r="D133" s="212">
        <f>102000/1000</f>
        <v>102</v>
      </c>
      <c r="E133" s="35">
        <f>127108/1.12/1000</f>
        <v>113.48928571428571</v>
      </c>
      <c r="F133" s="35">
        <f>109822/1.12/1000</f>
        <v>98.055357142857133</v>
      </c>
    </row>
    <row r="134" spans="1:6" s="60" customFormat="1" ht="18" customHeight="1">
      <c r="A134" s="204" t="s">
        <v>263</v>
      </c>
      <c r="B134" s="206" t="s">
        <v>480</v>
      </c>
      <c r="C134" s="74">
        <f t="shared" si="6"/>
        <v>373.93124999999998</v>
      </c>
      <c r="D134" s="212">
        <f>54900/1000</f>
        <v>54.9</v>
      </c>
      <c r="E134" s="35">
        <f>123638/1.12/1000</f>
        <v>110.39107142857142</v>
      </c>
      <c r="F134" s="35">
        <f>233677/1.12/1000</f>
        <v>208.64017857142855</v>
      </c>
    </row>
    <row r="135" spans="1:6" s="60" customFormat="1" ht="18" customHeight="1">
      <c r="A135" s="204" t="s">
        <v>264</v>
      </c>
      <c r="B135" s="206" t="s">
        <v>481</v>
      </c>
      <c r="C135" s="74">
        <f t="shared" si="6"/>
        <v>115.07678571428571</v>
      </c>
      <c r="D135" s="212">
        <f>66600/1000</f>
        <v>66.599999999999994</v>
      </c>
      <c r="E135" s="35"/>
      <c r="F135" s="35">
        <f>54294/1.12/1000</f>
        <v>48.476785714285711</v>
      </c>
    </row>
    <row r="136" spans="1:6" s="60" customFormat="1" ht="18" customHeight="1">
      <c r="A136" s="204" t="s">
        <v>265</v>
      </c>
      <c r="B136" s="207" t="s">
        <v>489</v>
      </c>
      <c r="C136" s="74">
        <f t="shared" si="6"/>
        <v>129.36000000000001</v>
      </c>
      <c r="D136" s="83">
        <f>129360/1000</f>
        <v>129.36000000000001</v>
      </c>
      <c r="E136" s="35"/>
      <c r="F136" s="67"/>
    </row>
    <row r="137" spans="1:6" s="60" customFormat="1" ht="18" customHeight="1">
      <c r="A137" s="204" t="s">
        <v>266</v>
      </c>
      <c r="B137" s="206" t="s">
        <v>490</v>
      </c>
      <c r="C137" s="74">
        <f t="shared" si="6"/>
        <v>154</v>
      </c>
      <c r="D137" s="83">
        <f>154000/1000</f>
        <v>154</v>
      </c>
      <c r="E137" s="35"/>
      <c r="F137" s="67"/>
    </row>
    <row r="138" spans="1:6" s="60" customFormat="1" ht="18" customHeight="1">
      <c r="A138" s="204" t="s">
        <v>267</v>
      </c>
      <c r="B138" s="206" t="s">
        <v>482</v>
      </c>
      <c r="C138" s="74">
        <f t="shared" si="6"/>
        <v>240</v>
      </c>
      <c r="D138" s="213">
        <f>240000/1000</f>
        <v>240</v>
      </c>
      <c r="E138" s="35"/>
      <c r="F138" s="67"/>
    </row>
    <row r="139" spans="1:6" s="60" customFormat="1" ht="18" customHeight="1">
      <c r="A139" s="204" t="s">
        <v>268</v>
      </c>
      <c r="B139" s="208" t="s">
        <v>483</v>
      </c>
      <c r="C139" s="74">
        <f t="shared" si="6"/>
        <v>0</v>
      </c>
      <c r="D139" s="22">
        <v>0</v>
      </c>
      <c r="E139" s="35"/>
      <c r="F139" s="67"/>
    </row>
    <row r="140" spans="1:6" s="60" customFormat="1" ht="18" customHeight="1">
      <c r="A140" s="204" t="s">
        <v>269</v>
      </c>
      <c r="B140" s="208" t="s">
        <v>80</v>
      </c>
      <c r="C140" s="74">
        <f t="shared" si="6"/>
        <v>1043.5573214285714</v>
      </c>
      <c r="D140" s="22">
        <f>739460/1000</f>
        <v>739.46</v>
      </c>
      <c r="E140" s="35">
        <f>340589/1.12/1000</f>
        <v>304.09732142857143</v>
      </c>
      <c r="F140" s="67"/>
    </row>
    <row r="141" spans="1:6" s="60" customFormat="1" ht="18" customHeight="1">
      <c r="A141" s="204" t="s">
        <v>485</v>
      </c>
      <c r="B141" s="209" t="s">
        <v>484</v>
      </c>
      <c r="C141" s="74">
        <f t="shared" si="6"/>
        <v>82.273214285714275</v>
      </c>
      <c r="D141" s="22">
        <v>0</v>
      </c>
      <c r="E141" s="35">
        <f>92146/1.12/1000</f>
        <v>82.273214285714275</v>
      </c>
      <c r="F141" s="67"/>
    </row>
    <row r="142" spans="1:6" s="60" customFormat="1">
      <c r="A142" s="204" t="s">
        <v>487</v>
      </c>
      <c r="B142" s="210" t="s">
        <v>486</v>
      </c>
      <c r="C142" s="74">
        <f t="shared" si="6"/>
        <v>208.61482142857142</v>
      </c>
      <c r="D142" s="83">
        <f>101655/1000</f>
        <v>101.655</v>
      </c>
      <c r="E142" s="59"/>
      <c r="F142" s="35">
        <f>119795/1.12/1000</f>
        <v>106.95982142857142</v>
      </c>
    </row>
    <row r="143" spans="1:6" s="60" customFormat="1">
      <c r="A143" s="204" t="s">
        <v>492</v>
      </c>
      <c r="B143" s="206" t="s">
        <v>491</v>
      </c>
      <c r="C143" s="74">
        <f t="shared" si="6"/>
        <v>205.83392857142854</v>
      </c>
      <c r="D143" s="211">
        <f>95400/1.12/1000</f>
        <v>85.178571428571416</v>
      </c>
      <c r="E143" s="35">
        <f>64968/1.12/1000</f>
        <v>58.007142857142853</v>
      </c>
      <c r="F143" s="35">
        <f>70166/1.12/1000</f>
        <v>62.648214285714282</v>
      </c>
    </row>
    <row r="144" spans="1:6" s="43" customFormat="1">
      <c r="A144" s="75"/>
      <c r="B144" s="75" t="s">
        <v>188</v>
      </c>
      <c r="C144" s="81" t="e">
        <f>C13+C51+C54+C74+C94+C102+C129</f>
        <v>#REF!</v>
      </c>
      <c r="D144" s="81" t="e">
        <f>D13+D51+D54+D74+D94+D102+D129</f>
        <v>#REF!</v>
      </c>
      <c r="E144" s="81" t="e">
        <f>E13+E51+E54+E74+E94+E102+E129</f>
        <v>#REF!</v>
      </c>
      <c r="F144" s="81" t="e">
        <f>F13+F51+F54+F74+F94+F102+F129</f>
        <v>#REF!</v>
      </c>
    </row>
    <row r="145" spans="1:6" s="43" customFormat="1">
      <c r="D145" s="76"/>
      <c r="E145" s="77"/>
      <c r="F145" s="77"/>
    </row>
    <row r="146" spans="1:6" s="43" customFormat="1">
      <c r="B146" s="45"/>
      <c r="C146" s="78"/>
      <c r="D146" s="77"/>
      <c r="E146" s="77"/>
      <c r="F146" s="78"/>
    </row>
    <row r="147" spans="1:6" s="47" customFormat="1">
      <c r="A147" s="623" t="s">
        <v>359</v>
      </c>
      <c r="B147" s="623"/>
      <c r="C147" s="623"/>
      <c r="D147" s="623"/>
      <c r="E147" s="623"/>
      <c r="F147" s="623"/>
    </row>
    <row r="148" spans="1:6" s="39" customFormat="1">
      <c r="C148" s="40"/>
      <c r="D148" s="50"/>
      <c r="E148" s="50"/>
    </row>
    <row r="149" spans="1:6" s="47" customFormat="1">
      <c r="A149" s="623" t="s">
        <v>358</v>
      </c>
      <c r="B149" s="623"/>
      <c r="C149" s="623"/>
      <c r="D149" s="623"/>
      <c r="E149" s="623"/>
      <c r="F149" s="623"/>
    </row>
  </sheetData>
  <mergeCells count="15">
    <mergeCell ref="A149:F149"/>
    <mergeCell ref="A147:F147"/>
    <mergeCell ref="E1:F1"/>
    <mergeCell ref="E2:F2"/>
    <mergeCell ref="E3:F3"/>
    <mergeCell ref="E4:F4"/>
    <mergeCell ref="E5:F5"/>
    <mergeCell ref="A7:F7"/>
    <mergeCell ref="A9:A10"/>
    <mergeCell ref="B9:B10"/>
    <mergeCell ref="C9:C10"/>
    <mergeCell ref="D9:D10"/>
    <mergeCell ref="E9:E10"/>
    <mergeCell ref="E8:F8"/>
    <mergeCell ref="F9:F10"/>
  </mergeCells>
  <pageMargins left="0.22" right="0" top="0" bottom="0" header="0.18" footer="0.18"/>
  <pageSetup paperSize="9" scale="65" orientation="portrait" verticalDpi="0" r:id="rId1"/>
  <ignoredErrors>
    <ignoredError sqref="A26:A50" twoDigitTextYear="1"/>
    <ignoredError sqref="A94" twoDigitTextYear="1" numberStoredAsText="1"/>
    <ignoredError sqref="A102 A129" numberStoredAsText="1"/>
  </ignoredErrors>
</worksheet>
</file>

<file path=xl/worksheets/sheet13.xml><?xml version="1.0" encoding="utf-8"?>
<worksheet xmlns="http://schemas.openxmlformats.org/spreadsheetml/2006/main" xmlns:r="http://schemas.openxmlformats.org/officeDocument/2006/relationships">
  <dimension ref="A1:XFD24"/>
  <sheetViews>
    <sheetView topLeftCell="A9" workbookViewId="0">
      <selection activeCell="A24" sqref="A24"/>
    </sheetView>
  </sheetViews>
  <sheetFormatPr defaultColWidth="9.109375" defaultRowHeight="15.6"/>
  <cols>
    <col min="1" max="1" width="5.44140625" style="39" customWidth="1"/>
    <col min="2" max="2" width="45.109375" style="39" customWidth="1"/>
    <col min="3" max="3" width="12.33203125" style="39" customWidth="1"/>
    <col min="4" max="4" width="12.88671875" style="39" customWidth="1"/>
    <col min="5" max="5" width="12.5546875" style="39" customWidth="1"/>
    <col min="6" max="6" width="10.44140625" style="39" customWidth="1"/>
    <col min="7" max="7" width="11.6640625" style="39" customWidth="1"/>
    <col min="8" max="16384" width="9.109375" style="39"/>
  </cols>
  <sheetData>
    <row r="1" spans="1:7">
      <c r="E1" s="630" t="s">
        <v>13</v>
      </c>
      <c r="F1" s="630"/>
      <c r="G1" s="630"/>
    </row>
    <row r="2" spans="1:7">
      <c r="E2" s="630" t="s">
        <v>21</v>
      </c>
      <c r="F2" s="630"/>
      <c r="G2" s="630"/>
    </row>
    <row r="3" spans="1:7">
      <c r="E3" s="630" t="s">
        <v>34</v>
      </c>
      <c r="F3" s="630"/>
      <c r="G3" s="630"/>
    </row>
    <row r="4" spans="1:7">
      <c r="E4" s="630" t="s">
        <v>169</v>
      </c>
      <c r="F4" s="630"/>
      <c r="G4" s="630"/>
    </row>
    <row r="5" spans="1:7">
      <c r="E5" s="630" t="s">
        <v>140</v>
      </c>
      <c r="F5" s="630"/>
      <c r="G5" s="630"/>
    </row>
    <row r="7" spans="1:7">
      <c r="A7" s="564" t="s">
        <v>338</v>
      </c>
      <c r="B7" s="564"/>
      <c r="C7" s="564"/>
      <c r="D7" s="564"/>
      <c r="E7" s="564"/>
      <c r="F7" s="564"/>
      <c r="G7" s="564"/>
    </row>
    <row r="8" spans="1:7">
      <c r="A8" s="46"/>
      <c r="B8" s="46"/>
      <c r="C8" s="639"/>
      <c r="D8" s="639"/>
      <c r="E8" s="639"/>
      <c r="F8" s="639"/>
      <c r="G8" s="639"/>
    </row>
    <row r="9" spans="1:7">
      <c r="A9" s="635" t="s">
        <v>25</v>
      </c>
      <c r="B9" s="636" t="s">
        <v>339</v>
      </c>
      <c r="C9" s="638" t="s">
        <v>340</v>
      </c>
      <c r="D9" s="638"/>
      <c r="E9" s="638"/>
      <c r="F9" s="638"/>
      <c r="G9" s="638"/>
    </row>
    <row r="10" spans="1:7">
      <c r="A10" s="635"/>
      <c r="B10" s="637"/>
      <c r="C10" s="189" t="s">
        <v>341</v>
      </c>
      <c r="D10" s="189" t="s">
        <v>342</v>
      </c>
      <c r="E10" s="189" t="s">
        <v>343</v>
      </c>
      <c r="F10" s="189" t="s">
        <v>344</v>
      </c>
      <c r="G10" s="189" t="s">
        <v>345</v>
      </c>
    </row>
    <row r="11" spans="1:7" ht="31.2">
      <c r="A11" s="190">
        <v>1</v>
      </c>
      <c r="B11" s="34" t="s">
        <v>346</v>
      </c>
      <c r="C11" s="192" t="e">
        <f>свод!D13</f>
        <v>#REF!</v>
      </c>
      <c r="D11" s="192">
        <f>свод!E13</f>
        <v>504972</v>
      </c>
      <c r="E11" s="192">
        <f>свод!F13</f>
        <v>574047</v>
      </c>
      <c r="F11" s="192" t="e">
        <f>свод!#REF!</f>
        <v>#REF!</v>
      </c>
      <c r="G11" s="193" t="e">
        <f t="shared" ref="G11:G18" si="0">SUM(C11:F11)</f>
        <v>#REF!</v>
      </c>
    </row>
    <row r="12" spans="1:7" ht="46.5" customHeight="1">
      <c r="A12" s="190">
        <v>2</v>
      </c>
      <c r="B12" s="191" t="s">
        <v>347</v>
      </c>
      <c r="C12" s="192" t="e">
        <f>свод!D51</f>
        <v>#REF!</v>
      </c>
      <c r="D12" s="192">
        <f>свод!E51</f>
        <v>450120</v>
      </c>
      <c r="E12" s="192">
        <f>свод!F51</f>
        <v>450313</v>
      </c>
      <c r="F12" s="192" t="e">
        <f>свод!#REF!</f>
        <v>#REF!</v>
      </c>
      <c r="G12" s="193" t="e">
        <f t="shared" si="0"/>
        <v>#REF!</v>
      </c>
    </row>
    <row r="13" spans="1:7" ht="31.2">
      <c r="A13" s="190">
        <v>3</v>
      </c>
      <c r="B13" s="191" t="s">
        <v>348</v>
      </c>
      <c r="C13" s="192" t="e">
        <f>свод!D54</f>
        <v>#REF!</v>
      </c>
      <c r="D13" s="192" t="e">
        <f>свод!E54</f>
        <v>#REF!</v>
      </c>
      <c r="E13" s="192" t="e">
        <f>свод!F54</f>
        <v>#REF!</v>
      </c>
      <c r="F13" s="192" t="e">
        <f>свод!#REF!</f>
        <v>#REF!</v>
      </c>
      <c r="G13" s="193" t="e">
        <f t="shared" si="0"/>
        <v>#REF!</v>
      </c>
    </row>
    <row r="14" spans="1:7" ht="27.75" customHeight="1">
      <c r="A14" s="190">
        <v>4</v>
      </c>
      <c r="B14" s="34" t="s">
        <v>349</v>
      </c>
      <c r="C14" s="190" t="e">
        <f>свод!D74</f>
        <v>#REF!</v>
      </c>
      <c r="D14" s="190" t="e">
        <f>свод!E74</f>
        <v>#REF!</v>
      </c>
      <c r="E14" s="190" t="e">
        <f>свод!F74</f>
        <v>#REF!</v>
      </c>
      <c r="F14" s="192" t="e">
        <f>свод!#REF!</f>
        <v>#REF!</v>
      </c>
      <c r="G14" s="193" t="e">
        <f t="shared" si="0"/>
        <v>#REF!</v>
      </c>
    </row>
    <row r="15" spans="1:7" ht="28.5" customHeight="1">
      <c r="A15" s="190">
        <v>5</v>
      </c>
      <c r="B15" s="34" t="s">
        <v>350</v>
      </c>
      <c r="C15" s="190" t="e">
        <f>свод!D94</f>
        <v>#REF!</v>
      </c>
      <c r="D15" s="190" t="e">
        <f>свод!E94</f>
        <v>#REF!</v>
      </c>
      <c r="E15" s="190" t="e">
        <f>свод!F94</f>
        <v>#REF!</v>
      </c>
      <c r="F15" s="190" t="e">
        <f>свод!#REF!</f>
        <v>#REF!</v>
      </c>
      <c r="G15" s="193" t="e">
        <f t="shared" si="0"/>
        <v>#REF!</v>
      </c>
    </row>
    <row r="16" spans="1:7">
      <c r="A16" s="190">
        <v>6</v>
      </c>
      <c r="B16" s="34" t="s">
        <v>351</v>
      </c>
      <c r="C16" s="190" t="e">
        <f>свод!D102</f>
        <v>#REF!</v>
      </c>
      <c r="D16" s="190">
        <f>свод!E102</f>
        <v>79166</v>
      </c>
      <c r="E16" s="190">
        <f>свод!F102</f>
        <v>76327</v>
      </c>
      <c r="F16" s="190" t="e">
        <f>свод!#REF!</f>
        <v>#REF!</v>
      </c>
      <c r="G16" s="193" t="e">
        <f t="shared" si="0"/>
        <v>#REF!</v>
      </c>
    </row>
    <row r="17" spans="1:16384" ht="31.5" customHeight="1">
      <c r="A17" s="190">
        <v>7</v>
      </c>
      <c r="B17" s="34" t="s">
        <v>31</v>
      </c>
      <c r="C17" s="190">
        <f>свод!D129</f>
        <v>1740.7245714285714</v>
      </c>
      <c r="D17" s="190">
        <f>свод!E129</f>
        <v>887.125</v>
      </c>
      <c r="E17" s="190" t="e">
        <f>свод!F129</f>
        <v>#REF!</v>
      </c>
      <c r="F17" s="192" t="e">
        <f>свод!#REF!</f>
        <v>#REF!</v>
      </c>
      <c r="G17" s="193" t="e">
        <f t="shared" si="0"/>
        <v>#REF!</v>
      </c>
    </row>
    <row r="18" spans="1:16384" ht="25.5" customHeight="1">
      <c r="A18" s="188"/>
      <c r="B18" s="194" t="s">
        <v>352</v>
      </c>
      <c r="C18" s="193" t="e">
        <f>SUM(C11:C17)</f>
        <v>#REF!</v>
      </c>
      <c r="D18" s="193" t="e">
        <f>SUM(D11:D17)</f>
        <v>#REF!</v>
      </c>
      <c r="E18" s="193" t="e">
        <f>SUM(E11:E17)</f>
        <v>#REF!</v>
      </c>
      <c r="F18" s="193" t="e">
        <f>SUM(F11:F17)</f>
        <v>#REF!</v>
      </c>
      <c r="G18" s="193" t="e">
        <f t="shared" si="0"/>
        <v>#REF!</v>
      </c>
    </row>
    <row r="20" spans="1:16384">
      <c r="B20" s="639"/>
      <c r="C20" s="639"/>
      <c r="D20" s="639"/>
      <c r="E20" s="639"/>
      <c r="F20" s="639"/>
    </row>
    <row r="21" spans="1:16384">
      <c r="A21" s="623" t="s">
        <v>497</v>
      </c>
      <c r="B21" s="623"/>
      <c r="C21" s="623"/>
      <c r="D21" s="623"/>
      <c r="E21" s="623"/>
      <c r="F21" s="623"/>
      <c r="G21" s="623"/>
    </row>
    <row r="22" spans="1:16384">
      <c r="D22" s="50"/>
      <c r="E22" s="50"/>
    </row>
    <row r="23" spans="1:16384">
      <c r="A23" s="623" t="s">
        <v>498</v>
      </c>
      <c r="B23" s="623"/>
      <c r="C23" s="623"/>
      <c r="D23" s="623"/>
      <c r="E23" s="623"/>
      <c r="F23" s="623"/>
      <c r="G23" s="623"/>
      <c r="H23" s="623"/>
      <c r="I23" s="623"/>
      <c r="J23" s="623"/>
      <c r="K23" s="623"/>
      <c r="L23" s="623"/>
      <c r="M23" s="623"/>
      <c r="N23" s="623"/>
      <c r="O23" s="623"/>
      <c r="P23" s="623"/>
      <c r="Q23" s="623"/>
      <c r="R23" s="623"/>
      <c r="S23" s="623"/>
      <c r="T23" s="623"/>
      <c r="U23" s="623"/>
      <c r="V23" s="623"/>
      <c r="W23" s="623"/>
      <c r="X23" s="623"/>
      <c r="Y23" s="623"/>
      <c r="Z23" s="623"/>
      <c r="AA23" s="623"/>
      <c r="AB23" s="623"/>
      <c r="AC23" s="623"/>
      <c r="AD23" s="623"/>
      <c r="AE23" s="623"/>
      <c r="AF23" s="623"/>
      <c r="AG23" s="623"/>
      <c r="AH23" s="623"/>
      <c r="AI23" s="623"/>
      <c r="AJ23" s="623"/>
      <c r="AK23" s="623"/>
      <c r="AL23" s="623"/>
      <c r="AM23" s="623"/>
      <c r="AN23" s="623"/>
      <c r="AO23" s="623"/>
      <c r="AP23" s="623"/>
      <c r="AQ23" s="623"/>
      <c r="AR23" s="623"/>
      <c r="AS23" s="623"/>
      <c r="AT23" s="623"/>
      <c r="AU23" s="623"/>
      <c r="AV23" s="623"/>
      <c r="AW23" s="623"/>
      <c r="AX23" s="623"/>
      <c r="AY23" s="623"/>
      <c r="AZ23" s="623"/>
      <c r="BA23" s="623"/>
      <c r="BB23" s="623"/>
      <c r="BC23" s="623"/>
      <c r="BD23" s="623"/>
      <c r="BE23" s="623"/>
      <c r="BF23" s="623"/>
      <c r="BG23" s="623"/>
      <c r="BH23" s="623"/>
      <c r="BI23" s="623"/>
      <c r="BJ23" s="623"/>
      <c r="BK23" s="623"/>
      <c r="BL23" s="623"/>
      <c r="BM23" s="623"/>
      <c r="BN23" s="623"/>
      <c r="BO23" s="623"/>
      <c r="BP23" s="623"/>
      <c r="BQ23" s="623"/>
      <c r="BR23" s="623"/>
      <c r="BS23" s="623"/>
      <c r="BT23" s="623"/>
      <c r="BU23" s="623"/>
      <c r="BV23" s="623"/>
      <c r="BW23" s="623"/>
      <c r="BX23" s="623"/>
      <c r="BY23" s="623"/>
      <c r="BZ23" s="623"/>
      <c r="CA23" s="623"/>
      <c r="CB23" s="623"/>
      <c r="CC23" s="623"/>
      <c r="CD23" s="623"/>
      <c r="CE23" s="623"/>
      <c r="CF23" s="623"/>
      <c r="CG23" s="623"/>
      <c r="CH23" s="623"/>
      <c r="CI23" s="623"/>
      <c r="CJ23" s="623"/>
      <c r="CK23" s="623"/>
      <c r="CL23" s="623"/>
      <c r="CM23" s="623"/>
      <c r="CN23" s="623"/>
      <c r="CO23" s="623"/>
      <c r="CP23" s="623"/>
      <c r="CQ23" s="623"/>
      <c r="CR23" s="623"/>
      <c r="CS23" s="623"/>
      <c r="CT23" s="623"/>
      <c r="CU23" s="623"/>
      <c r="CV23" s="623"/>
      <c r="CW23" s="623"/>
      <c r="CX23" s="623"/>
      <c r="CY23" s="623"/>
      <c r="CZ23" s="623"/>
      <c r="DA23" s="623"/>
      <c r="DB23" s="623"/>
      <c r="DC23" s="623"/>
      <c r="DD23" s="623"/>
      <c r="DE23" s="623"/>
      <c r="DF23" s="623"/>
      <c r="DG23" s="623"/>
      <c r="DH23" s="623"/>
      <c r="DI23" s="623"/>
      <c r="DJ23" s="623"/>
      <c r="DK23" s="623"/>
      <c r="DL23" s="623"/>
      <c r="DM23" s="623"/>
      <c r="DN23" s="623"/>
      <c r="DO23" s="623"/>
      <c r="DP23" s="623"/>
      <c r="DQ23" s="623"/>
      <c r="DR23" s="623"/>
      <c r="DS23" s="623"/>
      <c r="DT23" s="623"/>
      <c r="DU23" s="623"/>
      <c r="DV23" s="623"/>
      <c r="DW23" s="623"/>
      <c r="DX23" s="623"/>
      <c r="DY23" s="623"/>
      <c r="DZ23" s="623"/>
      <c r="EA23" s="623"/>
      <c r="EB23" s="623"/>
      <c r="EC23" s="623"/>
      <c r="ED23" s="623"/>
      <c r="EE23" s="623"/>
      <c r="EF23" s="623"/>
      <c r="EG23" s="623"/>
      <c r="EH23" s="623"/>
      <c r="EI23" s="623"/>
      <c r="EJ23" s="623"/>
      <c r="EK23" s="623"/>
      <c r="EL23" s="623"/>
      <c r="EM23" s="623"/>
      <c r="EN23" s="623"/>
      <c r="EO23" s="623"/>
      <c r="EP23" s="623"/>
      <c r="EQ23" s="623"/>
      <c r="ER23" s="623"/>
      <c r="ES23" s="623"/>
      <c r="ET23" s="623"/>
      <c r="EU23" s="623"/>
      <c r="EV23" s="623"/>
      <c r="EW23" s="623"/>
      <c r="EX23" s="623"/>
      <c r="EY23" s="623"/>
      <c r="EZ23" s="623"/>
      <c r="FA23" s="623"/>
      <c r="FB23" s="623"/>
      <c r="FC23" s="623"/>
      <c r="FD23" s="623"/>
      <c r="FE23" s="623"/>
      <c r="FF23" s="623"/>
      <c r="FG23" s="623"/>
      <c r="FH23" s="623"/>
      <c r="FI23" s="623"/>
      <c r="FJ23" s="623"/>
      <c r="FK23" s="623"/>
      <c r="FL23" s="623"/>
      <c r="FM23" s="623"/>
      <c r="FN23" s="623"/>
      <c r="FO23" s="623"/>
      <c r="FP23" s="623"/>
      <c r="FQ23" s="623"/>
      <c r="FR23" s="623"/>
      <c r="FS23" s="623"/>
      <c r="FT23" s="623"/>
      <c r="FU23" s="623"/>
      <c r="FV23" s="623"/>
      <c r="FW23" s="623"/>
      <c r="FX23" s="623"/>
      <c r="FY23" s="623"/>
      <c r="FZ23" s="623"/>
      <c r="GA23" s="623"/>
      <c r="GB23" s="623"/>
      <c r="GC23" s="623"/>
      <c r="GD23" s="623"/>
      <c r="GE23" s="623"/>
      <c r="GF23" s="623"/>
      <c r="GG23" s="623"/>
      <c r="GH23" s="623"/>
      <c r="GI23" s="623"/>
      <c r="GJ23" s="623"/>
      <c r="GK23" s="623"/>
      <c r="GL23" s="623"/>
      <c r="GM23" s="623"/>
      <c r="GN23" s="623"/>
      <c r="GO23" s="623"/>
      <c r="GP23" s="623"/>
      <c r="GQ23" s="623"/>
      <c r="GR23" s="623"/>
      <c r="GS23" s="623"/>
      <c r="GT23" s="623"/>
      <c r="GU23" s="623"/>
      <c r="GV23" s="623"/>
      <c r="GW23" s="623"/>
      <c r="GX23" s="623"/>
      <c r="GY23" s="623"/>
      <c r="GZ23" s="623"/>
      <c r="HA23" s="623"/>
      <c r="HB23" s="623"/>
      <c r="HC23" s="623"/>
      <c r="HD23" s="623"/>
      <c r="HE23" s="623"/>
      <c r="HF23" s="623"/>
      <c r="HG23" s="623"/>
      <c r="HH23" s="623"/>
      <c r="HI23" s="623"/>
      <c r="HJ23" s="623"/>
      <c r="HK23" s="623"/>
      <c r="HL23" s="623"/>
      <c r="HM23" s="623"/>
      <c r="HN23" s="623"/>
      <c r="HO23" s="623"/>
      <c r="HP23" s="623"/>
      <c r="HQ23" s="623"/>
      <c r="HR23" s="623"/>
      <c r="HS23" s="623"/>
      <c r="HT23" s="623"/>
      <c r="HU23" s="623"/>
      <c r="HV23" s="623"/>
      <c r="HW23" s="623"/>
      <c r="HX23" s="623"/>
      <c r="HY23" s="623"/>
      <c r="HZ23" s="623"/>
      <c r="IA23" s="623"/>
      <c r="IB23" s="623"/>
      <c r="IC23" s="623"/>
      <c r="ID23" s="623"/>
      <c r="IE23" s="623"/>
      <c r="IF23" s="623"/>
      <c r="IG23" s="623"/>
      <c r="IH23" s="623"/>
      <c r="II23" s="623"/>
      <c r="IJ23" s="623"/>
      <c r="IK23" s="623"/>
      <c r="IL23" s="623"/>
      <c r="IM23" s="623"/>
      <c r="IN23" s="623"/>
      <c r="IO23" s="623"/>
      <c r="IP23" s="623"/>
      <c r="IQ23" s="623"/>
      <c r="IR23" s="623"/>
      <c r="IS23" s="623"/>
      <c r="IT23" s="623"/>
      <c r="IU23" s="623"/>
      <c r="IV23" s="623"/>
      <c r="IW23" s="623"/>
      <c r="IX23" s="623"/>
      <c r="IY23" s="623"/>
      <c r="IZ23" s="623"/>
      <c r="JA23" s="623"/>
      <c r="JB23" s="623"/>
      <c r="JC23" s="623"/>
      <c r="JD23" s="623"/>
      <c r="JE23" s="623"/>
      <c r="JF23" s="623"/>
      <c r="JG23" s="623"/>
      <c r="JH23" s="623"/>
      <c r="JI23" s="623"/>
      <c r="JJ23" s="623"/>
      <c r="JK23" s="623"/>
      <c r="JL23" s="623"/>
      <c r="JM23" s="623"/>
      <c r="JN23" s="623"/>
      <c r="JO23" s="623"/>
      <c r="JP23" s="623"/>
      <c r="JQ23" s="623"/>
      <c r="JR23" s="623"/>
      <c r="JS23" s="623"/>
      <c r="JT23" s="623"/>
      <c r="JU23" s="623"/>
      <c r="JV23" s="623"/>
      <c r="JW23" s="623"/>
      <c r="JX23" s="623"/>
      <c r="JY23" s="623"/>
      <c r="JZ23" s="623"/>
      <c r="KA23" s="623"/>
      <c r="KB23" s="623"/>
      <c r="KC23" s="623"/>
      <c r="KD23" s="623"/>
      <c r="KE23" s="623"/>
      <c r="KF23" s="623"/>
      <c r="KG23" s="623"/>
      <c r="KH23" s="623"/>
      <c r="KI23" s="623"/>
      <c r="KJ23" s="623"/>
      <c r="KK23" s="623"/>
      <c r="KL23" s="623"/>
      <c r="KM23" s="623"/>
      <c r="KN23" s="623"/>
      <c r="KO23" s="623"/>
      <c r="KP23" s="623"/>
      <c r="KQ23" s="623"/>
      <c r="KR23" s="623"/>
      <c r="KS23" s="623"/>
      <c r="KT23" s="623"/>
      <c r="KU23" s="623"/>
      <c r="KV23" s="623"/>
      <c r="KW23" s="623"/>
      <c r="KX23" s="623"/>
      <c r="KY23" s="623"/>
      <c r="KZ23" s="623"/>
      <c r="LA23" s="623"/>
      <c r="LB23" s="623"/>
      <c r="LC23" s="623"/>
      <c r="LD23" s="623"/>
      <c r="LE23" s="623"/>
      <c r="LF23" s="623"/>
      <c r="LG23" s="623"/>
      <c r="LH23" s="623"/>
      <c r="LI23" s="623"/>
      <c r="LJ23" s="623"/>
      <c r="LK23" s="623"/>
      <c r="LL23" s="623"/>
      <c r="LM23" s="623"/>
      <c r="LN23" s="623"/>
      <c r="LO23" s="623"/>
      <c r="LP23" s="623"/>
      <c r="LQ23" s="623"/>
      <c r="LR23" s="623"/>
      <c r="LS23" s="623"/>
      <c r="LT23" s="623"/>
      <c r="LU23" s="623"/>
      <c r="LV23" s="623"/>
      <c r="LW23" s="623"/>
      <c r="LX23" s="623"/>
      <c r="LY23" s="623"/>
      <c r="LZ23" s="623"/>
      <c r="MA23" s="623"/>
      <c r="MB23" s="623"/>
      <c r="MC23" s="623"/>
      <c r="MD23" s="623"/>
      <c r="ME23" s="623"/>
      <c r="MF23" s="623"/>
      <c r="MG23" s="623"/>
      <c r="MH23" s="623"/>
      <c r="MI23" s="623"/>
      <c r="MJ23" s="623"/>
      <c r="MK23" s="623"/>
      <c r="ML23" s="623"/>
      <c r="MM23" s="623"/>
      <c r="MN23" s="623"/>
      <c r="MO23" s="623"/>
      <c r="MP23" s="623"/>
      <c r="MQ23" s="623"/>
      <c r="MR23" s="623"/>
      <c r="MS23" s="623"/>
      <c r="MT23" s="623"/>
      <c r="MU23" s="623"/>
      <c r="MV23" s="623"/>
      <c r="MW23" s="623"/>
      <c r="MX23" s="623"/>
      <c r="MY23" s="623"/>
      <c r="MZ23" s="623"/>
      <c r="NA23" s="623"/>
      <c r="NB23" s="623"/>
      <c r="NC23" s="623"/>
      <c r="ND23" s="623"/>
      <c r="NE23" s="623"/>
      <c r="NF23" s="623"/>
      <c r="NG23" s="623"/>
      <c r="NH23" s="623"/>
      <c r="NI23" s="623"/>
      <c r="NJ23" s="623"/>
      <c r="NK23" s="623"/>
      <c r="NL23" s="623"/>
      <c r="NM23" s="623"/>
      <c r="NN23" s="623"/>
      <c r="NO23" s="623"/>
      <c r="NP23" s="623"/>
      <c r="NQ23" s="623"/>
      <c r="NR23" s="623"/>
      <c r="NS23" s="623"/>
      <c r="NT23" s="623"/>
      <c r="NU23" s="623"/>
      <c r="NV23" s="623"/>
      <c r="NW23" s="623"/>
      <c r="NX23" s="623"/>
      <c r="NY23" s="623"/>
      <c r="NZ23" s="623"/>
      <c r="OA23" s="623"/>
      <c r="OB23" s="623"/>
      <c r="OC23" s="623"/>
      <c r="OD23" s="623"/>
      <c r="OE23" s="623"/>
      <c r="OF23" s="623"/>
      <c r="OG23" s="623"/>
      <c r="OH23" s="623"/>
      <c r="OI23" s="623"/>
      <c r="OJ23" s="623"/>
      <c r="OK23" s="623"/>
      <c r="OL23" s="623"/>
      <c r="OM23" s="623"/>
      <c r="ON23" s="623"/>
      <c r="OO23" s="623"/>
      <c r="OP23" s="623"/>
      <c r="OQ23" s="623"/>
      <c r="OR23" s="623"/>
      <c r="OS23" s="623"/>
      <c r="OT23" s="623"/>
      <c r="OU23" s="623"/>
      <c r="OV23" s="623"/>
      <c r="OW23" s="623"/>
      <c r="OX23" s="623"/>
      <c r="OY23" s="623"/>
      <c r="OZ23" s="623"/>
      <c r="PA23" s="623"/>
      <c r="PB23" s="623"/>
      <c r="PC23" s="623"/>
      <c r="PD23" s="623"/>
      <c r="PE23" s="623"/>
      <c r="PF23" s="623"/>
      <c r="PG23" s="623"/>
      <c r="PH23" s="623"/>
      <c r="PI23" s="623"/>
      <c r="PJ23" s="623"/>
      <c r="PK23" s="623"/>
      <c r="PL23" s="623"/>
      <c r="PM23" s="623"/>
      <c r="PN23" s="623"/>
      <c r="PO23" s="623"/>
      <c r="PP23" s="623"/>
      <c r="PQ23" s="623"/>
      <c r="PR23" s="623"/>
      <c r="PS23" s="623"/>
      <c r="PT23" s="623"/>
      <c r="PU23" s="623"/>
      <c r="PV23" s="623"/>
      <c r="PW23" s="623"/>
      <c r="PX23" s="623"/>
      <c r="PY23" s="623"/>
      <c r="PZ23" s="623"/>
      <c r="QA23" s="623"/>
      <c r="QB23" s="623"/>
      <c r="QC23" s="623"/>
      <c r="QD23" s="623"/>
      <c r="QE23" s="623"/>
      <c r="QF23" s="623"/>
      <c r="QG23" s="623"/>
      <c r="QH23" s="623"/>
      <c r="QI23" s="623"/>
      <c r="QJ23" s="623"/>
      <c r="QK23" s="623"/>
      <c r="QL23" s="623"/>
      <c r="QM23" s="623"/>
      <c r="QN23" s="623"/>
      <c r="QO23" s="623"/>
      <c r="QP23" s="623"/>
      <c r="QQ23" s="623"/>
      <c r="QR23" s="623"/>
      <c r="QS23" s="623"/>
      <c r="QT23" s="623"/>
      <c r="QU23" s="623"/>
      <c r="QV23" s="623"/>
      <c r="QW23" s="623"/>
      <c r="QX23" s="623"/>
      <c r="QY23" s="623"/>
      <c r="QZ23" s="623"/>
      <c r="RA23" s="623"/>
      <c r="RB23" s="623"/>
      <c r="RC23" s="623"/>
      <c r="RD23" s="623"/>
      <c r="RE23" s="623"/>
      <c r="RF23" s="623"/>
      <c r="RG23" s="623"/>
      <c r="RH23" s="623"/>
      <c r="RI23" s="623"/>
      <c r="RJ23" s="623"/>
      <c r="RK23" s="623"/>
      <c r="RL23" s="623"/>
      <c r="RM23" s="623"/>
      <c r="RN23" s="623"/>
      <c r="RO23" s="623"/>
      <c r="RP23" s="623"/>
      <c r="RQ23" s="623"/>
      <c r="RR23" s="623"/>
      <c r="RS23" s="623"/>
      <c r="RT23" s="623"/>
      <c r="RU23" s="623"/>
      <c r="RV23" s="623"/>
      <c r="RW23" s="623"/>
      <c r="RX23" s="623"/>
      <c r="RY23" s="623"/>
      <c r="RZ23" s="623"/>
      <c r="SA23" s="623"/>
      <c r="SB23" s="623"/>
      <c r="SC23" s="623"/>
      <c r="SD23" s="623"/>
      <c r="SE23" s="623"/>
      <c r="SF23" s="623"/>
      <c r="SG23" s="623"/>
      <c r="SH23" s="623"/>
      <c r="SI23" s="623"/>
      <c r="SJ23" s="623"/>
      <c r="SK23" s="623"/>
      <c r="SL23" s="623"/>
      <c r="SM23" s="623"/>
      <c r="SN23" s="623"/>
      <c r="SO23" s="623"/>
      <c r="SP23" s="623"/>
      <c r="SQ23" s="623"/>
      <c r="SR23" s="623"/>
      <c r="SS23" s="623"/>
      <c r="ST23" s="623"/>
      <c r="SU23" s="623"/>
      <c r="SV23" s="623"/>
      <c r="SW23" s="623"/>
      <c r="SX23" s="623"/>
      <c r="SY23" s="623"/>
      <c r="SZ23" s="623"/>
      <c r="TA23" s="623"/>
      <c r="TB23" s="623"/>
      <c r="TC23" s="623"/>
      <c r="TD23" s="623"/>
      <c r="TE23" s="623"/>
      <c r="TF23" s="623"/>
      <c r="TG23" s="623"/>
      <c r="TH23" s="623"/>
      <c r="TI23" s="623"/>
      <c r="TJ23" s="623"/>
      <c r="TK23" s="623"/>
      <c r="TL23" s="623"/>
      <c r="TM23" s="623"/>
      <c r="TN23" s="623"/>
      <c r="TO23" s="623"/>
      <c r="TP23" s="623"/>
      <c r="TQ23" s="623"/>
      <c r="TR23" s="623"/>
      <c r="TS23" s="623"/>
      <c r="TT23" s="623"/>
      <c r="TU23" s="623"/>
      <c r="TV23" s="623"/>
      <c r="TW23" s="623"/>
      <c r="TX23" s="623"/>
      <c r="TY23" s="623"/>
      <c r="TZ23" s="623"/>
      <c r="UA23" s="623"/>
      <c r="UB23" s="623"/>
      <c r="UC23" s="623"/>
      <c r="UD23" s="623"/>
      <c r="UE23" s="623"/>
      <c r="UF23" s="623"/>
      <c r="UG23" s="623"/>
      <c r="UH23" s="623"/>
      <c r="UI23" s="623"/>
      <c r="UJ23" s="623"/>
      <c r="UK23" s="623"/>
      <c r="UL23" s="623"/>
      <c r="UM23" s="623"/>
      <c r="UN23" s="623"/>
      <c r="UO23" s="623"/>
      <c r="UP23" s="623"/>
      <c r="UQ23" s="623"/>
      <c r="UR23" s="623"/>
      <c r="US23" s="623"/>
      <c r="UT23" s="623"/>
      <c r="UU23" s="623"/>
      <c r="UV23" s="623"/>
      <c r="UW23" s="623"/>
      <c r="UX23" s="623"/>
      <c r="UY23" s="623"/>
      <c r="UZ23" s="623"/>
      <c r="VA23" s="623"/>
      <c r="VB23" s="623"/>
      <c r="VC23" s="623"/>
      <c r="VD23" s="623"/>
      <c r="VE23" s="623"/>
      <c r="VF23" s="623"/>
      <c r="VG23" s="623"/>
      <c r="VH23" s="623"/>
      <c r="VI23" s="623"/>
      <c r="VJ23" s="623"/>
      <c r="VK23" s="623"/>
      <c r="VL23" s="623"/>
      <c r="VM23" s="623"/>
      <c r="VN23" s="623"/>
      <c r="VO23" s="623"/>
      <c r="VP23" s="623"/>
      <c r="VQ23" s="623"/>
      <c r="VR23" s="623"/>
      <c r="VS23" s="623"/>
      <c r="VT23" s="623"/>
      <c r="VU23" s="623"/>
      <c r="VV23" s="623"/>
      <c r="VW23" s="623"/>
      <c r="VX23" s="623"/>
      <c r="VY23" s="623"/>
      <c r="VZ23" s="623"/>
      <c r="WA23" s="623"/>
      <c r="WB23" s="623"/>
      <c r="WC23" s="623"/>
      <c r="WD23" s="623"/>
      <c r="WE23" s="623"/>
      <c r="WF23" s="623"/>
      <c r="WG23" s="623"/>
      <c r="WH23" s="623"/>
      <c r="WI23" s="623"/>
      <c r="WJ23" s="623"/>
      <c r="WK23" s="623"/>
      <c r="WL23" s="623"/>
      <c r="WM23" s="623"/>
      <c r="WN23" s="623"/>
      <c r="WO23" s="623"/>
      <c r="WP23" s="623"/>
      <c r="WQ23" s="623"/>
      <c r="WR23" s="623"/>
      <c r="WS23" s="623"/>
      <c r="WT23" s="623"/>
      <c r="WU23" s="623"/>
      <c r="WV23" s="623"/>
      <c r="WW23" s="623"/>
      <c r="WX23" s="623"/>
      <c r="WY23" s="623"/>
      <c r="WZ23" s="623"/>
      <c r="XA23" s="623"/>
      <c r="XB23" s="623"/>
      <c r="XC23" s="623"/>
      <c r="XD23" s="623"/>
      <c r="XE23" s="623"/>
      <c r="XF23" s="623"/>
      <c r="XG23" s="623"/>
      <c r="XH23" s="623"/>
      <c r="XI23" s="623"/>
      <c r="XJ23" s="623"/>
      <c r="XK23" s="623"/>
      <c r="XL23" s="623"/>
      <c r="XM23" s="623"/>
      <c r="XN23" s="623"/>
      <c r="XO23" s="623"/>
      <c r="XP23" s="623"/>
      <c r="XQ23" s="623"/>
      <c r="XR23" s="623"/>
      <c r="XS23" s="623"/>
      <c r="XT23" s="623"/>
      <c r="XU23" s="623"/>
      <c r="XV23" s="623"/>
      <c r="XW23" s="623"/>
      <c r="XX23" s="623"/>
      <c r="XY23" s="623"/>
      <c r="XZ23" s="623"/>
      <c r="YA23" s="623"/>
      <c r="YB23" s="623"/>
      <c r="YC23" s="623"/>
      <c r="YD23" s="623"/>
      <c r="YE23" s="623"/>
      <c r="YF23" s="623"/>
      <c r="YG23" s="623"/>
      <c r="YH23" s="623"/>
      <c r="YI23" s="623"/>
      <c r="YJ23" s="623"/>
      <c r="YK23" s="623"/>
      <c r="YL23" s="623"/>
      <c r="YM23" s="623"/>
      <c r="YN23" s="623"/>
      <c r="YO23" s="623"/>
      <c r="YP23" s="623"/>
      <c r="YQ23" s="623"/>
      <c r="YR23" s="623"/>
      <c r="YS23" s="623"/>
      <c r="YT23" s="623"/>
      <c r="YU23" s="623"/>
      <c r="YV23" s="623"/>
      <c r="YW23" s="623"/>
      <c r="YX23" s="623"/>
      <c r="YY23" s="623"/>
      <c r="YZ23" s="623"/>
      <c r="ZA23" s="623"/>
      <c r="ZB23" s="623"/>
      <c r="ZC23" s="623"/>
      <c r="ZD23" s="623"/>
      <c r="ZE23" s="623"/>
      <c r="ZF23" s="623"/>
      <c r="ZG23" s="623"/>
      <c r="ZH23" s="623"/>
      <c r="ZI23" s="623"/>
      <c r="ZJ23" s="623"/>
      <c r="ZK23" s="623"/>
      <c r="ZL23" s="623"/>
      <c r="ZM23" s="623"/>
      <c r="ZN23" s="623"/>
      <c r="ZO23" s="623"/>
      <c r="ZP23" s="623"/>
      <c r="ZQ23" s="623"/>
      <c r="ZR23" s="623"/>
      <c r="ZS23" s="623"/>
      <c r="ZT23" s="623"/>
      <c r="ZU23" s="623"/>
      <c r="ZV23" s="623"/>
      <c r="ZW23" s="623"/>
      <c r="ZX23" s="623"/>
      <c r="ZY23" s="623"/>
      <c r="ZZ23" s="623"/>
      <c r="AAA23" s="623"/>
      <c r="AAB23" s="623"/>
      <c r="AAC23" s="623"/>
      <c r="AAD23" s="623"/>
      <c r="AAE23" s="623"/>
      <c r="AAF23" s="623"/>
      <c r="AAG23" s="623"/>
      <c r="AAH23" s="623"/>
      <c r="AAI23" s="623"/>
      <c r="AAJ23" s="623"/>
      <c r="AAK23" s="623"/>
      <c r="AAL23" s="623"/>
      <c r="AAM23" s="623"/>
      <c r="AAN23" s="623"/>
      <c r="AAO23" s="623"/>
      <c r="AAP23" s="623"/>
      <c r="AAQ23" s="623"/>
      <c r="AAR23" s="623"/>
      <c r="AAS23" s="623"/>
      <c r="AAT23" s="623"/>
      <c r="AAU23" s="623"/>
      <c r="AAV23" s="623"/>
      <c r="AAW23" s="623"/>
      <c r="AAX23" s="623"/>
      <c r="AAY23" s="623"/>
      <c r="AAZ23" s="623"/>
      <c r="ABA23" s="623"/>
      <c r="ABB23" s="623"/>
      <c r="ABC23" s="623"/>
      <c r="ABD23" s="623"/>
      <c r="ABE23" s="623"/>
      <c r="ABF23" s="623"/>
      <c r="ABG23" s="623"/>
      <c r="ABH23" s="623"/>
      <c r="ABI23" s="623"/>
      <c r="ABJ23" s="623"/>
      <c r="ABK23" s="623"/>
      <c r="ABL23" s="623"/>
      <c r="ABM23" s="623"/>
      <c r="ABN23" s="623"/>
      <c r="ABO23" s="623"/>
      <c r="ABP23" s="623"/>
      <c r="ABQ23" s="623"/>
      <c r="ABR23" s="623"/>
      <c r="ABS23" s="623"/>
      <c r="ABT23" s="623"/>
      <c r="ABU23" s="623"/>
      <c r="ABV23" s="623"/>
      <c r="ABW23" s="623"/>
      <c r="ABX23" s="623"/>
      <c r="ABY23" s="623"/>
      <c r="ABZ23" s="623"/>
      <c r="ACA23" s="623"/>
      <c r="ACB23" s="623"/>
      <c r="ACC23" s="623"/>
      <c r="ACD23" s="623"/>
      <c r="ACE23" s="623"/>
      <c r="ACF23" s="623"/>
      <c r="ACG23" s="623"/>
      <c r="ACH23" s="623"/>
      <c r="ACI23" s="623"/>
      <c r="ACJ23" s="623"/>
      <c r="ACK23" s="623"/>
      <c r="ACL23" s="623"/>
      <c r="ACM23" s="623"/>
      <c r="ACN23" s="623"/>
      <c r="ACO23" s="623"/>
      <c r="ACP23" s="623"/>
      <c r="ACQ23" s="623"/>
      <c r="ACR23" s="623"/>
      <c r="ACS23" s="623"/>
      <c r="ACT23" s="623"/>
      <c r="ACU23" s="623"/>
      <c r="ACV23" s="623"/>
      <c r="ACW23" s="623"/>
      <c r="ACX23" s="623"/>
      <c r="ACY23" s="623"/>
      <c r="ACZ23" s="623"/>
      <c r="ADA23" s="623"/>
      <c r="ADB23" s="623"/>
      <c r="ADC23" s="623"/>
      <c r="ADD23" s="623"/>
      <c r="ADE23" s="623"/>
      <c r="ADF23" s="623"/>
      <c r="ADG23" s="623"/>
      <c r="ADH23" s="623"/>
      <c r="ADI23" s="623"/>
      <c r="ADJ23" s="623"/>
      <c r="ADK23" s="623"/>
      <c r="ADL23" s="623"/>
      <c r="ADM23" s="623"/>
      <c r="ADN23" s="623"/>
      <c r="ADO23" s="623"/>
      <c r="ADP23" s="623"/>
      <c r="ADQ23" s="623"/>
      <c r="ADR23" s="623"/>
      <c r="ADS23" s="623"/>
      <c r="ADT23" s="623"/>
      <c r="ADU23" s="623"/>
      <c r="ADV23" s="623"/>
      <c r="ADW23" s="623"/>
      <c r="ADX23" s="623"/>
      <c r="ADY23" s="623"/>
      <c r="ADZ23" s="623"/>
      <c r="AEA23" s="623"/>
      <c r="AEB23" s="623"/>
      <c r="AEC23" s="623"/>
      <c r="AED23" s="623"/>
      <c r="AEE23" s="623"/>
      <c r="AEF23" s="623"/>
      <c r="AEG23" s="623"/>
      <c r="AEH23" s="623"/>
      <c r="AEI23" s="623"/>
      <c r="AEJ23" s="623"/>
      <c r="AEK23" s="623"/>
      <c r="AEL23" s="623"/>
      <c r="AEM23" s="623"/>
      <c r="AEN23" s="623"/>
      <c r="AEO23" s="623"/>
      <c r="AEP23" s="623"/>
      <c r="AEQ23" s="623"/>
      <c r="AER23" s="623"/>
      <c r="AES23" s="623"/>
      <c r="AET23" s="623"/>
      <c r="AEU23" s="623"/>
      <c r="AEV23" s="623"/>
      <c r="AEW23" s="623"/>
      <c r="AEX23" s="623"/>
      <c r="AEY23" s="623"/>
      <c r="AEZ23" s="623"/>
      <c r="AFA23" s="623"/>
      <c r="AFB23" s="623"/>
      <c r="AFC23" s="623"/>
      <c r="AFD23" s="623"/>
      <c r="AFE23" s="623"/>
      <c r="AFF23" s="623"/>
      <c r="AFG23" s="623"/>
      <c r="AFH23" s="623"/>
      <c r="AFI23" s="623"/>
      <c r="AFJ23" s="623"/>
      <c r="AFK23" s="623"/>
      <c r="AFL23" s="623"/>
      <c r="AFM23" s="623"/>
      <c r="AFN23" s="623"/>
      <c r="AFO23" s="623"/>
      <c r="AFP23" s="623"/>
      <c r="AFQ23" s="623"/>
      <c r="AFR23" s="623"/>
      <c r="AFS23" s="623"/>
      <c r="AFT23" s="623"/>
      <c r="AFU23" s="623"/>
      <c r="AFV23" s="623"/>
      <c r="AFW23" s="623"/>
      <c r="AFX23" s="623"/>
      <c r="AFY23" s="623"/>
      <c r="AFZ23" s="623"/>
      <c r="AGA23" s="623"/>
      <c r="AGB23" s="623"/>
      <c r="AGC23" s="623"/>
      <c r="AGD23" s="623"/>
      <c r="AGE23" s="623"/>
      <c r="AGF23" s="623"/>
      <c r="AGG23" s="623"/>
      <c r="AGH23" s="623"/>
      <c r="AGI23" s="623"/>
      <c r="AGJ23" s="623"/>
      <c r="AGK23" s="623"/>
      <c r="AGL23" s="623"/>
      <c r="AGM23" s="623"/>
      <c r="AGN23" s="623"/>
      <c r="AGO23" s="623"/>
      <c r="AGP23" s="623"/>
      <c r="AGQ23" s="623"/>
      <c r="AGR23" s="623"/>
      <c r="AGS23" s="623"/>
      <c r="AGT23" s="623"/>
      <c r="AGU23" s="623"/>
      <c r="AGV23" s="623"/>
      <c r="AGW23" s="623"/>
      <c r="AGX23" s="623"/>
      <c r="AGY23" s="623"/>
      <c r="AGZ23" s="623"/>
      <c r="AHA23" s="623"/>
      <c r="AHB23" s="623"/>
      <c r="AHC23" s="623"/>
      <c r="AHD23" s="623"/>
      <c r="AHE23" s="623"/>
      <c r="AHF23" s="623"/>
      <c r="AHG23" s="623"/>
      <c r="AHH23" s="623"/>
      <c r="AHI23" s="623"/>
      <c r="AHJ23" s="623"/>
      <c r="AHK23" s="623"/>
      <c r="AHL23" s="623"/>
      <c r="AHM23" s="623"/>
      <c r="AHN23" s="623"/>
      <c r="AHO23" s="623"/>
      <c r="AHP23" s="623"/>
      <c r="AHQ23" s="623"/>
      <c r="AHR23" s="623"/>
      <c r="AHS23" s="623"/>
      <c r="AHT23" s="623"/>
      <c r="AHU23" s="623"/>
      <c r="AHV23" s="623"/>
      <c r="AHW23" s="623"/>
      <c r="AHX23" s="623"/>
      <c r="AHY23" s="623"/>
      <c r="AHZ23" s="623"/>
      <c r="AIA23" s="623"/>
      <c r="AIB23" s="623"/>
      <c r="AIC23" s="623"/>
      <c r="AID23" s="623"/>
      <c r="AIE23" s="623"/>
      <c r="AIF23" s="623"/>
      <c r="AIG23" s="623"/>
      <c r="AIH23" s="623"/>
      <c r="AII23" s="623"/>
      <c r="AIJ23" s="623"/>
      <c r="AIK23" s="623"/>
      <c r="AIL23" s="623"/>
      <c r="AIM23" s="623"/>
      <c r="AIN23" s="623"/>
      <c r="AIO23" s="623"/>
      <c r="AIP23" s="623"/>
      <c r="AIQ23" s="623"/>
      <c r="AIR23" s="623"/>
      <c r="AIS23" s="623"/>
      <c r="AIT23" s="623"/>
      <c r="AIU23" s="623"/>
      <c r="AIV23" s="623"/>
      <c r="AIW23" s="623"/>
      <c r="AIX23" s="623"/>
      <c r="AIY23" s="623"/>
      <c r="AIZ23" s="623"/>
      <c r="AJA23" s="623"/>
      <c r="AJB23" s="623"/>
      <c r="AJC23" s="623"/>
      <c r="AJD23" s="623"/>
      <c r="AJE23" s="623"/>
      <c r="AJF23" s="623"/>
      <c r="AJG23" s="623"/>
      <c r="AJH23" s="623"/>
      <c r="AJI23" s="623"/>
      <c r="AJJ23" s="623"/>
      <c r="AJK23" s="623"/>
      <c r="AJL23" s="623"/>
      <c r="AJM23" s="623"/>
      <c r="AJN23" s="623"/>
      <c r="AJO23" s="623"/>
      <c r="AJP23" s="623"/>
      <c r="AJQ23" s="623"/>
      <c r="AJR23" s="623"/>
      <c r="AJS23" s="623"/>
      <c r="AJT23" s="623"/>
      <c r="AJU23" s="623"/>
      <c r="AJV23" s="623"/>
      <c r="AJW23" s="623"/>
      <c r="AJX23" s="623"/>
      <c r="AJY23" s="623"/>
      <c r="AJZ23" s="623"/>
      <c r="AKA23" s="623"/>
      <c r="AKB23" s="623"/>
      <c r="AKC23" s="623"/>
      <c r="AKD23" s="623"/>
      <c r="AKE23" s="623"/>
      <c r="AKF23" s="623"/>
      <c r="AKG23" s="623"/>
      <c r="AKH23" s="623"/>
      <c r="AKI23" s="623"/>
      <c r="AKJ23" s="623"/>
      <c r="AKK23" s="623"/>
      <c r="AKL23" s="623"/>
      <c r="AKM23" s="623"/>
      <c r="AKN23" s="623"/>
      <c r="AKO23" s="623"/>
      <c r="AKP23" s="623"/>
      <c r="AKQ23" s="623"/>
      <c r="AKR23" s="623"/>
      <c r="AKS23" s="623"/>
      <c r="AKT23" s="623"/>
      <c r="AKU23" s="623"/>
      <c r="AKV23" s="623"/>
      <c r="AKW23" s="623"/>
      <c r="AKX23" s="623"/>
      <c r="AKY23" s="623"/>
      <c r="AKZ23" s="623"/>
      <c r="ALA23" s="623"/>
      <c r="ALB23" s="623"/>
      <c r="ALC23" s="623"/>
      <c r="ALD23" s="623"/>
      <c r="ALE23" s="623"/>
      <c r="ALF23" s="623"/>
      <c r="ALG23" s="623"/>
      <c r="ALH23" s="623"/>
      <c r="ALI23" s="623"/>
      <c r="ALJ23" s="623"/>
      <c r="ALK23" s="623"/>
      <c r="ALL23" s="623"/>
      <c r="ALM23" s="623"/>
      <c r="ALN23" s="623"/>
      <c r="ALO23" s="623"/>
      <c r="ALP23" s="623"/>
      <c r="ALQ23" s="623"/>
      <c r="ALR23" s="623"/>
      <c r="ALS23" s="623"/>
      <c r="ALT23" s="623"/>
      <c r="ALU23" s="623"/>
      <c r="ALV23" s="623"/>
      <c r="ALW23" s="623"/>
      <c r="ALX23" s="623"/>
      <c r="ALY23" s="623"/>
      <c r="ALZ23" s="623"/>
      <c r="AMA23" s="623"/>
      <c r="AMB23" s="623"/>
      <c r="AMC23" s="623"/>
      <c r="AMD23" s="623"/>
      <c r="AME23" s="623"/>
      <c r="AMF23" s="623"/>
      <c r="AMG23" s="623"/>
      <c r="AMH23" s="623"/>
      <c r="AMI23" s="623"/>
      <c r="AMJ23" s="623"/>
      <c r="AMK23" s="623"/>
      <c r="AML23" s="623"/>
      <c r="AMM23" s="623"/>
      <c r="AMN23" s="623"/>
      <c r="AMO23" s="623"/>
      <c r="AMP23" s="623"/>
      <c r="AMQ23" s="623"/>
      <c r="AMR23" s="623"/>
      <c r="AMS23" s="623"/>
      <c r="AMT23" s="623"/>
      <c r="AMU23" s="623"/>
      <c r="AMV23" s="623"/>
      <c r="AMW23" s="623"/>
      <c r="AMX23" s="623"/>
      <c r="AMY23" s="623"/>
      <c r="AMZ23" s="623"/>
      <c r="ANA23" s="623"/>
      <c r="ANB23" s="623"/>
      <c r="ANC23" s="623"/>
      <c r="AND23" s="623"/>
      <c r="ANE23" s="623"/>
      <c r="ANF23" s="623"/>
      <c r="ANG23" s="623"/>
      <c r="ANH23" s="623"/>
      <c r="ANI23" s="623"/>
      <c r="ANJ23" s="623"/>
      <c r="ANK23" s="623"/>
      <c r="ANL23" s="623"/>
      <c r="ANM23" s="623"/>
      <c r="ANN23" s="623"/>
      <c r="ANO23" s="623"/>
      <c r="ANP23" s="623"/>
      <c r="ANQ23" s="623"/>
      <c r="ANR23" s="623"/>
      <c r="ANS23" s="623"/>
      <c r="ANT23" s="623"/>
      <c r="ANU23" s="623"/>
      <c r="ANV23" s="623"/>
      <c r="ANW23" s="623"/>
      <c r="ANX23" s="623"/>
      <c r="ANY23" s="623"/>
      <c r="ANZ23" s="623"/>
      <c r="AOA23" s="623"/>
      <c r="AOB23" s="623"/>
      <c r="AOC23" s="623"/>
      <c r="AOD23" s="623"/>
      <c r="AOE23" s="623"/>
      <c r="AOF23" s="623"/>
      <c r="AOG23" s="623"/>
      <c r="AOH23" s="623"/>
      <c r="AOI23" s="623"/>
      <c r="AOJ23" s="623"/>
      <c r="AOK23" s="623"/>
      <c r="AOL23" s="623"/>
      <c r="AOM23" s="623"/>
      <c r="AON23" s="623"/>
      <c r="AOO23" s="623"/>
      <c r="AOP23" s="623"/>
      <c r="AOQ23" s="623"/>
      <c r="AOR23" s="623"/>
      <c r="AOS23" s="623"/>
      <c r="AOT23" s="623"/>
      <c r="AOU23" s="623"/>
      <c r="AOV23" s="623"/>
      <c r="AOW23" s="623"/>
      <c r="AOX23" s="623"/>
      <c r="AOY23" s="623"/>
      <c r="AOZ23" s="623"/>
      <c r="APA23" s="623"/>
      <c r="APB23" s="623"/>
      <c r="APC23" s="623"/>
      <c r="APD23" s="623"/>
      <c r="APE23" s="623"/>
      <c r="APF23" s="623"/>
      <c r="APG23" s="623"/>
      <c r="APH23" s="623"/>
      <c r="API23" s="623"/>
      <c r="APJ23" s="623"/>
      <c r="APK23" s="623"/>
      <c r="APL23" s="623"/>
      <c r="APM23" s="623"/>
      <c r="APN23" s="623"/>
      <c r="APO23" s="623"/>
      <c r="APP23" s="623"/>
      <c r="APQ23" s="623"/>
      <c r="APR23" s="623"/>
      <c r="APS23" s="623"/>
      <c r="APT23" s="623"/>
      <c r="APU23" s="623"/>
      <c r="APV23" s="623"/>
      <c r="APW23" s="623"/>
      <c r="APX23" s="623"/>
      <c r="APY23" s="623"/>
      <c r="APZ23" s="623"/>
      <c r="AQA23" s="623"/>
      <c r="AQB23" s="623"/>
      <c r="AQC23" s="623"/>
      <c r="AQD23" s="623"/>
      <c r="AQE23" s="623"/>
      <c r="AQF23" s="623"/>
      <c r="AQG23" s="623"/>
      <c r="AQH23" s="623"/>
      <c r="AQI23" s="623"/>
      <c r="AQJ23" s="623"/>
      <c r="AQK23" s="623"/>
      <c r="AQL23" s="623"/>
      <c r="AQM23" s="623"/>
      <c r="AQN23" s="623"/>
      <c r="AQO23" s="623"/>
      <c r="AQP23" s="623"/>
      <c r="AQQ23" s="623"/>
      <c r="AQR23" s="623"/>
      <c r="AQS23" s="623"/>
      <c r="AQT23" s="623"/>
      <c r="AQU23" s="623"/>
      <c r="AQV23" s="623"/>
      <c r="AQW23" s="623"/>
      <c r="AQX23" s="623"/>
      <c r="AQY23" s="623"/>
      <c r="AQZ23" s="623"/>
      <c r="ARA23" s="623"/>
      <c r="ARB23" s="623"/>
      <c r="ARC23" s="623"/>
      <c r="ARD23" s="623"/>
      <c r="ARE23" s="623"/>
      <c r="ARF23" s="623"/>
      <c r="ARG23" s="623"/>
      <c r="ARH23" s="623"/>
      <c r="ARI23" s="623"/>
      <c r="ARJ23" s="623"/>
      <c r="ARK23" s="623"/>
      <c r="ARL23" s="623"/>
      <c r="ARM23" s="623"/>
      <c r="ARN23" s="623"/>
      <c r="ARO23" s="623"/>
      <c r="ARP23" s="623"/>
      <c r="ARQ23" s="623"/>
      <c r="ARR23" s="623"/>
      <c r="ARS23" s="623"/>
      <c r="ART23" s="623"/>
      <c r="ARU23" s="623"/>
      <c r="ARV23" s="623"/>
      <c r="ARW23" s="623"/>
      <c r="ARX23" s="623"/>
      <c r="ARY23" s="623"/>
      <c r="ARZ23" s="623"/>
      <c r="ASA23" s="623"/>
      <c r="ASB23" s="623"/>
      <c r="ASC23" s="623"/>
      <c r="ASD23" s="623"/>
      <c r="ASE23" s="623"/>
      <c r="ASF23" s="623"/>
      <c r="ASG23" s="623"/>
      <c r="ASH23" s="623"/>
      <c r="ASI23" s="623"/>
      <c r="ASJ23" s="623"/>
      <c r="ASK23" s="623"/>
      <c r="ASL23" s="623"/>
      <c r="ASM23" s="623"/>
      <c r="ASN23" s="623"/>
      <c r="ASO23" s="623"/>
      <c r="ASP23" s="623"/>
      <c r="ASQ23" s="623"/>
      <c r="ASR23" s="623"/>
      <c r="ASS23" s="623"/>
      <c r="AST23" s="623"/>
      <c r="ASU23" s="623"/>
      <c r="ASV23" s="623"/>
      <c r="ASW23" s="623"/>
      <c r="ASX23" s="623"/>
      <c r="ASY23" s="623"/>
      <c r="ASZ23" s="623"/>
      <c r="ATA23" s="623"/>
      <c r="ATB23" s="623"/>
      <c r="ATC23" s="623"/>
      <c r="ATD23" s="623"/>
      <c r="ATE23" s="623"/>
      <c r="ATF23" s="623"/>
      <c r="ATG23" s="623"/>
      <c r="ATH23" s="623"/>
      <c r="ATI23" s="623"/>
      <c r="ATJ23" s="623"/>
      <c r="ATK23" s="623"/>
      <c r="ATL23" s="623"/>
      <c r="ATM23" s="623"/>
      <c r="ATN23" s="623"/>
      <c r="ATO23" s="623"/>
      <c r="ATP23" s="623"/>
      <c r="ATQ23" s="623"/>
      <c r="ATR23" s="623"/>
      <c r="ATS23" s="623"/>
      <c r="ATT23" s="623"/>
      <c r="ATU23" s="623"/>
      <c r="ATV23" s="623"/>
      <c r="ATW23" s="623"/>
      <c r="ATX23" s="623"/>
      <c r="ATY23" s="623"/>
      <c r="ATZ23" s="623"/>
      <c r="AUA23" s="623"/>
      <c r="AUB23" s="623"/>
      <c r="AUC23" s="623"/>
      <c r="AUD23" s="623"/>
      <c r="AUE23" s="623"/>
      <c r="AUF23" s="623"/>
      <c r="AUG23" s="623"/>
      <c r="AUH23" s="623"/>
      <c r="AUI23" s="623"/>
      <c r="AUJ23" s="623"/>
      <c r="AUK23" s="623"/>
      <c r="AUL23" s="623"/>
      <c r="AUM23" s="623"/>
      <c r="AUN23" s="623"/>
      <c r="AUO23" s="623"/>
      <c r="AUP23" s="623"/>
      <c r="AUQ23" s="623"/>
      <c r="AUR23" s="623"/>
      <c r="AUS23" s="623"/>
      <c r="AUT23" s="623"/>
      <c r="AUU23" s="623"/>
      <c r="AUV23" s="623"/>
      <c r="AUW23" s="623"/>
      <c r="AUX23" s="623"/>
      <c r="AUY23" s="623"/>
      <c r="AUZ23" s="623"/>
      <c r="AVA23" s="623"/>
      <c r="AVB23" s="623"/>
      <c r="AVC23" s="623"/>
      <c r="AVD23" s="623"/>
      <c r="AVE23" s="623"/>
      <c r="AVF23" s="623"/>
      <c r="AVG23" s="623"/>
      <c r="AVH23" s="623"/>
      <c r="AVI23" s="623"/>
      <c r="AVJ23" s="623"/>
      <c r="AVK23" s="623"/>
      <c r="AVL23" s="623"/>
      <c r="AVM23" s="623"/>
      <c r="AVN23" s="623"/>
      <c r="AVO23" s="623"/>
      <c r="AVP23" s="623"/>
      <c r="AVQ23" s="623"/>
      <c r="AVR23" s="623"/>
      <c r="AVS23" s="623"/>
      <c r="AVT23" s="623"/>
      <c r="AVU23" s="623"/>
      <c r="AVV23" s="623"/>
      <c r="AVW23" s="623"/>
      <c r="AVX23" s="623"/>
      <c r="AVY23" s="623"/>
      <c r="AVZ23" s="623"/>
      <c r="AWA23" s="623"/>
      <c r="AWB23" s="623"/>
      <c r="AWC23" s="623"/>
      <c r="AWD23" s="623"/>
      <c r="AWE23" s="623"/>
      <c r="AWF23" s="623"/>
      <c r="AWG23" s="623"/>
      <c r="AWH23" s="623"/>
      <c r="AWI23" s="623"/>
      <c r="AWJ23" s="623"/>
      <c r="AWK23" s="623"/>
      <c r="AWL23" s="623"/>
      <c r="AWM23" s="623"/>
      <c r="AWN23" s="623"/>
      <c r="AWO23" s="623"/>
      <c r="AWP23" s="623"/>
      <c r="AWQ23" s="623"/>
      <c r="AWR23" s="623"/>
      <c r="AWS23" s="623"/>
      <c r="AWT23" s="623"/>
      <c r="AWU23" s="623"/>
      <c r="AWV23" s="623"/>
      <c r="AWW23" s="623"/>
      <c r="AWX23" s="623"/>
      <c r="AWY23" s="623"/>
      <c r="AWZ23" s="623"/>
      <c r="AXA23" s="623"/>
      <c r="AXB23" s="623"/>
      <c r="AXC23" s="623"/>
      <c r="AXD23" s="623"/>
      <c r="AXE23" s="623"/>
      <c r="AXF23" s="623"/>
      <c r="AXG23" s="623"/>
      <c r="AXH23" s="623"/>
      <c r="AXI23" s="623"/>
      <c r="AXJ23" s="623"/>
      <c r="AXK23" s="623"/>
      <c r="AXL23" s="623"/>
      <c r="AXM23" s="623"/>
      <c r="AXN23" s="623"/>
      <c r="AXO23" s="623"/>
      <c r="AXP23" s="623"/>
      <c r="AXQ23" s="623"/>
      <c r="AXR23" s="623"/>
      <c r="AXS23" s="623"/>
      <c r="AXT23" s="623"/>
      <c r="AXU23" s="623"/>
      <c r="AXV23" s="623"/>
      <c r="AXW23" s="623"/>
      <c r="AXX23" s="623"/>
      <c r="AXY23" s="623"/>
      <c r="AXZ23" s="623"/>
      <c r="AYA23" s="623"/>
      <c r="AYB23" s="623"/>
      <c r="AYC23" s="623"/>
      <c r="AYD23" s="623"/>
      <c r="AYE23" s="623"/>
      <c r="AYF23" s="623"/>
      <c r="AYG23" s="623"/>
      <c r="AYH23" s="623"/>
      <c r="AYI23" s="623"/>
      <c r="AYJ23" s="623"/>
      <c r="AYK23" s="623"/>
      <c r="AYL23" s="623"/>
      <c r="AYM23" s="623"/>
      <c r="AYN23" s="623"/>
      <c r="AYO23" s="623"/>
      <c r="AYP23" s="623"/>
      <c r="AYQ23" s="623"/>
      <c r="AYR23" s="623"/>
      <c r="AYS23" s="623"/>
      <c r="AYT23" s="623"/>
      <c r="AYU23" s="623"/>
      <c r="AYV23" s="623"/>
      <c r="AYW23" s="623"/>
      <c r="AYX23" s="623"/>
      <c r="AYY23" s="623"/>
      <c r="AYZ23" s="623"/>
      <c r="AZA23" s="623"/>
      <c r="AZB23" s="623"/>
      <c r="AZC23" s="623"/>
      <c r="AZD23" s="623"/>
      <c r="AZE23" s="623"/>
      <c r="AZF23" s="623"/>
      <c r="AZG23" s="623"/>
      <c r="AZH23" s="623"/>
      <c r="AZI23" s="623"/>
      <c r="AZJ23" s="623"/>
      <c r="AZK23" s="623"/>
      <c r="AZL23" s="623"/>
      <c r="AZM23" s="623"/>
      <c r="AZN23" s="623"/>
      <c r="AZO23" s="623"/>
      <c r="AZP23" s="623"/>
      <c r="AZQ23" s="623"/>
      <c r="AZR23" s="623"/>
      <c r="AZS23" s="623"/>
      <c r="AZT23" s="623"/>
      <c r="AZU23" s="623"/>
      <c r="AZV23" s="623"/>
      <c r="AZW23" s="623"/>
      <c r="AZX23" s="623"/>
      <c r="AZY23" s="623"/>
      <c r="AZZ23" s="623"/>
      <c r="BAA23" s="623"/>
      <c r="BAB23" s="623"/>
      <c r="BAC23" s="623"/>
      <c r="BAD23" s="623"/>
      <c r="BAE23" s="623"/>
      <c r="BAF23" s="623"/>
      <c r="BAG23" s="623"/>
      <c r="BAH23" s="623"/>
      <c r="BAI23" s="623"/>
      <c r="BAJ23" s="623"/>
      <c r="BAK23" s="623"/>
      <c r="BAL23" s="623"/>
      <c r="BAM23" s="623"/>
      <c r="BAN23" s="623"/>
      <c r="BAO23" s="623"/>
      <c r="BAP23" s="623"/>
      <c r="BAQ23" s="623"/>
      <c r="BAR23" s="623"/>
      <c r="BAS23" s="623"/>
      <c r="BAT23" s="623"/>
      <c r="BAU23" s="623"/>
      <c r="BAV23" s="623"/>
      <c r="BAW23" s="623"/>
      <c r="BAX23" s="623"/>
      <c r="BAY23" s="623"/>
      <c r="BAZ23" s="623"/>
      <c r="BBA23" s="623"/>
      <c r="BBB23" s="623"/>
      <c r="BBC23" s="623"/>
      <c r="BBD23" s="623"/>
      <c r="BBE23" s="623"/>
      <c r="BBF23" s="623"/>
      <c r="BBG23" s="623"/>
      <c r="BBH23" s="623"/>
      <c r="BBI23" s="623"/>
      <c r="BBJ23" s="623"/>
      <c r="BBK23" s="623"/>
      <c r="BBL23" s="623"/>
      <c r="BBM23" s="623"/>
      <c r="BBN23" s="623"/>
      <c r="BBO23" s="623"/>
      <c r="BBP23" s="623"/>
      <c r="BBQ23" s="623"/>
      <c r="BBR23" s="623"/>
      <c r="BBS23" s="623"/>
      <c r="BBT23" s="623"/>
      <c r="BBU23" s="623"/>
      <c r="BBV23" s="623"/>
      <c r="BBW23" s="623"/>
      <c r="BBX23" s="623"/>
      <c r="BBY23" s="623"/>
      <c r="BBZ23" s="623"/>
      <c r="BCA23" s="623"/>
      <c r="BCB23" s="623"/>
      <c r="BCC23" s="623"/>
      <c r="BCD23" s="623"/>
      <c r="BCE23" s="623"/>
      <c r="BCF23" s="623"/>
      <c r="BCG23" s="623"/>
      <c r="BCH23" s="623"/>
      <c r="BCI23" s="623"/>
      <c r="BCJ23" s="623"/>
      <c r="BCK23" s="623"/>
      <c r="BCL23" s="623"/>
      <c r="BCM23" s="623"/>
      <c r="BCN23" s="623"/>
      <c r="BCO23" s="623"/>
      <c r="BCP23" s="623"/>
      <c r="BCQ23" s="623"/>
      <c r="BCR23" s="623"/>
      <c r="BCS23" s="623"/>
      <c r="BCT23" s="623"/>
      <c r="BCU23" s="623"/>
      <c r="BCV23" s="623"/>
      <c r="BCW23" s="623"/>
      <c r="BCX23" s="623"/>
      <c r="BCY23" s="623"/>
      <c r="BCZ23" s="623"/>
      <c r="BDA23" s="623"/>
      <c r="BDB23" s="623"/>
      <c r="BDC23" s="623"/>
      <c r="BDD23" s="623"/>
      <c r="BDE23" s="623"/>
      <c r="BDF23" s="623"/>
      <c r="BDG23" s="623"/>
      <c r="BDH23" s="623"/>
      <c r="BDI23" s="623"/>
      <c r="BDJ23" s="623"/>
      <c r="BDK23" s="623"/>
      <c r="BDL23" s="623"/>
      <c r="BDM23" s="623"/>
      <c r="BDN23" s="623"/>
      <c r="BDO23" s="623"/>
      <c r="BDP23" s="623"/>
      <c r="BDQ23" s="623"/>
      <c r="BDR23" s="623"/>
      <c r="BDS23" s="623"/>
      <c r="BDT23" s="623"/>
      <c r="BDU23" s="623"/>
      <c r="BDV23" s="623"/>
      <c r="BDW23" s="623"/>
      <c r="BDX23" s="623"/>
      <c r="BDY23" s="623"/>
      <c r="BDZ23" s="623"/>
      <c r="BEA23" s="623"/>
      <c r="BEB23" s="623"/>
      <c r="BEC23" s="623"/>
      <c r="BED23" s="623"/>
      <c r="BEE23" s="623"/>
      <c r="BEF23" s="623"/>
      <c r="BEG23" s="623"/>
      <c r="BEH23" s="623"/>
      <c r="BEI23" s="623"/>
      <c r="BEJ23" s="623"/>
      <c r="BEK23" s="623"/>
      <c r="BEL23" s="623"/>
      <c r="BEM23" s="623"/>
      <c r="BEN23" s="623"/>
      <c r="BEO23" s="623"/>
      <c r="BEP23" s="623"/>
      <c r="BEQ23" s="623"/>
      <c r="BER23" s="623"/>
      <c r="BES23" s="623"/>
      <c r="BET23" s="623"/>
      <c r="BEU23" s="623"/>
      <c r="BEV23" s="623"/>
      <c r="BEW23" s="623"/>
      <c r="BEX23" s="623"/>
      <c r="BEY23" s="623"/>
      <c r="BEZ23" s="623"/>
      <c r="BFA23" s="623"/>
      <c r="BFB23" s="623"/>
      <c r="BFC23" s="623"/>
      <c r="BFD23" s="623"/>
      <c r="BFE23" s="623"/>
      <c r="BFF23" s="623"/>
      <c r="BFG23" s="623"/>
      <c r="BFH23" s="623"/>
      <c r="BFI23" s="623"/>
      <c r="BFJ23" s="623"/>
      <c r="BFK23" s="623"/>
      <c r="BFL23" s="623"/>
      <c r="BFM23" s="623"/>
      <c r="BFN23" s="623"/>
      <c r="BFO23" s="623"/>
      <c r="BFP23" s="623"/>
      <c r="BFQ23" s="623"/>
      <c r="BFR23" s="623"/>
      <c r="BFS23" s="623"/>
      <c r="BFT23" s="623"/>
      <c r="BFU23" s="623"/>
      <c r="BFV23" s="623"/>
      <c r="BFW23" s="623"/>
      <c r="BFX23" s="623"/>
      <c r="BFY23" s="623"/>
      <c r="BFZ23" s="623"/>
      <c r="BGA23" s="623"/>
      <c r="BGB23" s="623"/>
      <c r="BGC23" s="623"/>
      <c r="BGD23" s="623"/>
      <c r="BGE23" s="623"/>
      <c r="BGF23" s="623"/>
      <c r="BGG23" s="623"/>
      <c r="BGH23" s="623"/>
      <c r="BGI23" s="623"/>
      <c r="BGJ23" s="623"/>
      <c r="BGK23" s="623"/>
      <c r="BGL23" s="623"/>
      <c r="BGM23" s="623"/>
      <c r="BGN23" s="623"/>
      <c r="BGO23" s="623"/>
      <c r="BGP23" s="623"/>
      <c r="BGQ23" s="623"/>
      <c r="BGR23" s="623"/>
      <c r="BGS23" s="623"/>
      <c r="BGT23" s="623"/>
      <c r="BGU23" s="623"/>
      <c r="BGV23" s="623"/>
      <c r="BGW23" s="623"/>
      <c r="BGX23" s="623"/>
      <c r="BGY23" s="623"/>
      <c r="BGZ23" s="623"/>
      <c r="BHA23" s="623"/>
      <c r="BHB23" s="623"/>
      <c r="BHC23" s="623"/>
      <c r="BHD23" s="623"/>
      <c r="BHE23" s="623"/>
      <c r="BHF23" s="623"/>
      <c r="BHG23" s="623"/>
      <c r="BHH23" s="623"/>
      <c r="BHI23" s="623"/>
      <c r="BHJ23" s="623"/>
      <c r="BHK23" s="623"/>
      <c r="BHL23" s="623"/>
      <c r="BHM23" s="623"/>
      <c r="BHN23" s="623"/>
      <c r="BHO23" s="623"/>
      <c r="BHP23" s="623"/>
      <c r="BHQ23" s="623"/>
      <c r="BHR23" s="623"/>
      <c r="BHS23" s="623"/>
      <c r="BHT23" s="623"/>
      <c r="BHU23" s="623"/>
      <c r="BHV23" s="623"/>
      <c r="BHW23" s="623"/>
      <c r="BHX23" s="623"/>
      <c r="BHY23" s="623"/>
      <c r="BHZ23" s="623"/>
      <c r="BIA23" s="623"/>
      <c r="BIB23" s="623"/>
      <c r="BIC23" s="623"/>
      <c r="BID23" s="623"/>
      <c r="BIE23" s="623"/>
      <c r="BIF23" s="623"/>
      <c r="BIG23" s="623"/>
      <c r="BIH23" s="623"/>
      <c r="BII23" s="623"/>
      <c r="BIJ23" s="623"/>
      <c r="BIK23" s="623"/>
      <c r="BIL23" s="623"/>
      <c r="BIM23" s="623"/>
      <c r="BIN23" s="623"/>
      <c r="BIO23" s="623"/>
      <c r="BIP23" s="623"/>
      <c r="BIQ23" s="623"/>
      <c r="BIR23" s="623"/>
      <c r="BIS23" s="623"/>
      <c r="BIT23" s="623"/>
      <c r="BIU23" s="623"/>
      <c r="BIV23" s="623"/>
      <c r="BIW23" s="623"/>
      <c r="BIX23" s="623"/>
      <c r="BIY23" s="623"/>
      <c r="BIZ23" s="623"/>
      <c r="BJA23" s="623"/>
      <c r="BJB23" s="623"/>
      <c r="BJC23" s="623"/>
      <c r="BJD23" s="623"/>
      <c r="BJE23" s="623"/>
      <c r="BJF23" s="623"/>
      <c r="BJG23" s="623"/>
      <c r="BJH23" s="623"/>
      <c r="BJI23" s="623"/>
      <c r="BJJ23" s="623"/>
      <c r="BJK23" s="623"/>
      <c r="BJL23" s="623"/>
      <c r="BJM23" s="623"/>
      <c r="BJN23" s="623"/>
      <c r="BJO23" s="623"/>
      <c r="BJP23" s="623"/>
      <c r="BJQ23" s="623"/>
      <c r="BJR23" s="623"/>
      <c r="BJS23" s="623"/>
      <c r="BJT23" s="623"/>
      <c r="BJU23" s="623"/>
      <c r="BJV23" s="623"/>
      <c r="BJW23" s="623"/>
      <c r="BJX23" s="623"/>
      <c r="BJY23" s="623"/>
      <c r="BJZ23" s="623"/>
      <c r="BKA23" s="623"/>
      <c r="BKB23" s="623"/>
      <c r="BKC23" s="623"/>
      <c r="BKD23" s="623"/>
      <c r="BKE23" s="623"/>
      <c r="BKF23" s="623"/>
      <c r="BKG23" s="623"/>
      <c r="BKH23" s="623"/>
      <c r="BKI23" s="623"/>
      <c r="BKJ23" s="623"/>
      <c r="BKK23" s="623"/>
      <c r="BKL23" s="623"/>
      <c r="BKM23" s="623"/>
      <c r="BKN23" s="623"/>
      <c r="BKO23" s="623"/>
      <c r="BKP23" s="623"/>
      <c r="BKQ23" s="623"/>
      <c r="BKR23" s="623"/>
      <c r="BKS23" s="623"/>
      <c r="BKT23" s="623"/>
      <c r="BKU23" s="623"/>
      <c r="BKV23" s="623"/>
      <c r="BKW23" s="623"/>
      <c r="BKX23" s="623"/>
      <c r="BKY23" s="623"/>
      <c r="BKZ23" s="623"/>
      <c r="BLA23" s="623"/>
      <c r="BLB23" s="623"/>
      <c r="BLC23" s="623"/>
      <c r="BLD23" s="623"/>
      <c r="BLE23" s="623"/>
      <c r="BLF23" s="623"/>
      <c r="BLG23" s="623"/>
      <c r="BLH23" s="623"/>
      <c r="BLI23" s="623"/>
      <c r="BLJ23" s="623"/>
      <c r="BLK23" s="623"/>
      <c r="BLL23" s="623"/>
      <c r="BLM23" s="623"/>
      <c r="BLN23" s="623"/>
      <c r="BLO23" s="623"/>
      <c r="BLP23" s="623"/>
      <c r="BLQ23" s="623"/>
      <c r="BLR23" s="623"/>
      <c r="BLS23" s="623"/>
      <c r="BLT23" s="623"/>
      <c r="BLU23" s="623"/>
      <c r="BLV23" s="623"/>
      <c r="BLW23" s="623"/>
      <c r="BLX23" s="623"/>
      <c r="BLY23" s="623"/>
      <c r="BLZ23" s="623"/>
      <c r="BMA23" s="623"/>
      <c r="BMB23" s="623"/>
      <c r="BMC23" s="623"/>
      <c r="BMD23" s="623"/>
      <c r="BME23" s="623"/>
      <c r="BMF23" s="623"/>
      <c r="BMG23" s="623"/>
      <c r="BMH23" s="623"/>
      <c r="BMI23" s="623"/>
      <c r="BMJ23" s="623"/>
      <c r="BMK23" s="623"/>
      <c r="BML23" s="623"/>
      <c r="BMM23" s="623"/>
      <c r="BMN23" s="623"/>
      <c r="BMO23" s="623"/>
      <c r="BMP23" s="623"/>
      <c r="BMQ23" s="623"/>
      <c r="BMR23" s="623"/>
      <c r="BMS23" s="623"/>
      <c r="BMT23" s="623"/>
      <c r="BMU23" s="623"/>
      <c r="BMV23" s="623"/>
      <c r="BMW23" s="623"/>
      <c r="BMX23" s="623"/>
      <c r="BMY23" s="623"/>
      <c r="BMZ23" s="623"/>
      <c r="BNA23" s="623"/>
      <c r="BNB23" s="623"/>
      <c r="BNC23" s="623"/>
      <c r="BND23" s="623"/>
      <c r="BNE23" s="623"/>
      <c r="BNF23" s="623"/>
      <c r="BNG23" s="623"/>
      <c r="BNH23" s="623"/>
      <c r="BNI23" s="623"/>
      <c r="BNJ23" s="623"/>
      <c r="BNK23" s="623"/>
      <c r="BNL23" s="623"/>
      <c r="BNM23" s="623"/>
      <c r="BNN23" s="623"/>
      <c r="BNO23" s="623"/>
      <c r="BNP23" s="623"/>
      <c r="BNQ23" s="623"/>
      <c r="BNR23" s="623"/>
      <c r="BNS23" s="623"/>
      <c r="BNT23" s="623"/>
      <c r="BNU23" s="623"/>
      <c r="BNV23" s="623"/>
      <c r="BNW23" s="623"/>
      <c r="BNX23" s="623"/>
      <c r="BNY23" s="623"/>
      <c r="BNZ23" s="623"/>
      <c r="BOA23" s="623"/>
      <c r="BOB23" s="623"/>
      <c r="BOC23" s="623"/>
      <c r="BOD23" s="623"/>
      <c r="BOE23" s="623"/>
      <c r="BOF23" s="623"/>
      <c r="BOG23" s="623"/>
      <c r="BOH23" s="623"/>
      <c r="BOI23" s="623"/>
      <c r="BOJ23" s="623"/>
      <c r="BOK23" s="623"/>
      <c r="BOL23" s="623"/>
      <c r="BOM23" s="623"/>
      <c r="BON23" s="623"/>
      <c r="BOO23" s="623"/>
      <c r="BOP23" s="623"/>
      <c r="BOQ23" s="623"/>
      <c r="BOR23" s="623"/>
      <c r="BOS23" s="623"/>
      <c r="BOT23" s="623"/>
      <c r="BOU23" s="623"/>
      <c r="BOV23" s="623"/>
      <c r="BOW23" s="623"/>
      <c r="BOX23" s="623"/>
      <c r="BOY23" s="623"/>
      <c r="BOZ23" s="623"/>
      <c r="BPA23" s="623"/>
      <c r="BPB23" s="623"/>
      <c r="BPC23" s="623"/>
      <c r="BPD23" s="623"/>
      <c r="BPE23" s="623"/>
      <c r="BPF23" s="623"/>
      <c r="BPG23" s="623"/>
      <c r="BPH23" s="623"/>
      <c r="BPI23" s="623"/>
      <c r="BPJ23" s="623"/>
      <c r="BPK23" s="623"/>
      <c r="BPL23" s="623"/>
      <c r="BPM23" s="623"/>
      <c r="BPN23" s="623"/>
      <c r="BPO23" s="623"/>
      <c r="BPP23" s="623"/>
      <c r="BPQ23" s="623"/>
      <c r="BPR23" s="623"/>
      <c r="BPS23" s="623"/>
      <c r="BPT23" s="623"/>
      <c r="BPU23" s="623"/>
      <c r="BPV23" s="623"/>
      <c r="BPW23" s="623"/>
      <c r="BPX23" s="623"/>
      <c r="BPY23" s="623"/>
      <c r="BPZ23" s="623"/>
      <c r="BQA23" s="623"/>
      <c r="BQB23" s="623"/>
      <c r="BQC23" s="623"/>
      <c r="BQD23" s="623"/>
      <c r="BQE23" s="623"/>
      <c r="BQF23" s="623"/>
      <c r="BQG23" s="623"/>
      <c r="BQH23" s="623"/>
      <c r="BQI23" s="623"/>
      <c r="BQJ23" s="623"/>
      <c r="BQK23" s="623"/>
      <c r="BQL23" s="623"/>
      <c r="BQM23" s="623"/>
      <c r="BQN23" s="623"/>
      <c r="BQO23" s="623"/>
      <c r="BQP23" s="623"/>
      <c r="BQQ23" s="623"/>
      <c r="BQR23" s="623"/>
      <c r="BQS23" s="623"/>
      <c r="BQT23" s="623"/>
      <c r="BQU23" s="623"/>
      <c r="BQV23" s="623"/>
      <c r="BQW23" s="623"/>
      <c r="BQX23" s="623"/>
      <c r="BQY23" s="623"/>
      <c r="BQZ23" s="623"/>
      <c r="BRA23" s="623"/>
      <c r="BRB23" s="623"/>
      <c r="BRC23" s="623"/>
      <c r="BRD23" s="623"/>
      <c r="BRE23" s="623"/>
      <c r="BRF23" s="623"/>
      <c r="BRG23" s="623"/>
      <c r="BRH23" s="623"/>
      <c r="BRI23" s="623"/>
      <c r="BRJ23" s="623"/>
      <c r="BRK23" s="623"/>
      <c r="BRL23" s="623"/>
      <c r="BRM23" s="623"/>
      <c r="BRN23" s="623"/>
      <c r="BRO23" s="623"/>
      <c r="BRP23" s="623"/>
      <c r="BRQ23" s="623"/>
      <c r="BRR23" s="623"/>
      <c r="BRS23" s="623"/>
      <c r="BRT23" s="623"/>
      <c r="BRU23" s="623"/>
      <c r="BRV23" s="623"/>
      <c r="BRW23" s="623"/>
      <c r="BRX23" s="623"/>
      <c r="BRY23" s="623"/>
      <c r="BRZ23" s="623"/>
      <c r="BSA23" s="623"/>
      <c r="BSB23" s="623"/>
      <c r="BSC23" s="623"/>
      <c r="BSD23" s="623"/>
      <c r="BSE23" s="623"/>
      <c r="BSF23" s="623"/>
      <c r="BSG23" s="623"/>
      <c r="BSH23" s="623"/>
      <c r="BSI23" s="623"/>
      <c r="BSJ23" s="623"/>
      <c r="BSK23" s="623"/>
      <c r="BSL23" s="623"/>
      <c r="BSM23" s="623"/>
      <c r="BSN23" s="623"/>
      <c r="BSO23" s="623"/>
      <c r="BSP23" s="623"/>
      <c r="BSQ23" s="623"/>
      <c r="BSR23" s="623"/>
      <c r="BSS23" s="623"/>
      <c r="BST23" s="623"/>
      <c r="BSU23" s="623"/>
      <c r="BSV23" s="623"/>
      <c r="BSW23" s="623"/>
      <c r="BSX23" s="623"/>
      <c r="BSY23" s="623"/>
      <c r="BSZ23" s="623"/>
      <c r="BTA23" s="623"/>
      <c r="BTB23" s="623"/>
      <c r="BTC23" s="623"/>
      <c r="BTD23" s="623"/>
      <c r="BTE23" s="623"/>
      <c r="BTF23" s="623"/>
      <c r="BTG23" s="623"/>
      <c r="BTH23" s="623"/>
      <c r="BTI23" s="623"/>
      <c r="BTJ23" s="623"/>
      <c r="BTK23" s="623"/>
      <c r="BTL23" s="623"/>
      <c r="BTM23" s="623"/>
      <c r="BTN23" s="623"/>
      <c r="BTO23" s="623"/>
      <c r="BTP23" s="623"/>
      <c r="BTQ23" s="623"/>
      <c r="BTR23" s="623"/>
      <c r="BTS23" s="623"/>
      <c r="BTT23" s="623"/>
      <c r="BTU23" s="623"/>
      <c r="BTV23" s="623"/>
      <c r="BTW23" s="623"/>
      <c r="BTX23" s="623"/>
      <c r="BTY23" s="623"/>
      <c r="BTZ23" s="623"/>
      <c r="BUA23" s="623"/>
      <c r="BUB23" s="623"/>
      <c r="BUC23" s="623"/>
      <c r="BUD23" s="623"/>
      <c r="BUE23" s="623"/>
      <c r="BUF23" s="623"/>
      <c r="BUG23" s="623"/>
      <c r="BUH23" s="623"/>
      <c r="BUI23" s="623"/>
      <c r="BUJ23" s="623"/>
      <c r="BUK23" s="623"/>
      <c r="BUL23" s="623"/>
      <c r="BUM23" s="623"/>
      <c r="BUN23" s="623"/>
      <c r="BUO23" s="623"/>
      <c r="BUP23" s="623"/>
      <c r="BUQ23" s="623"/>
      <c r="BUR23" s="623"/>
      <c r="BUS23" s="623"/>
      <c r="BUT23" s="623"/>
      <c r="BUU23" s="623"/>
      <c r="BUV23" s="623"/>
      <c r="BUW23" s="623"/>
      <c r="BUX23" s="623"/>
      <c r="BUY23" s="623"/>
      <c r="BUZ23" s="623"/>
      <c r="BVA23" s="623"/>
      <c r="BVB23" s="623"/>
      <c r="BVC23" s="623"/>
      <c r="BVD23" s="623"/>
      <c r="BVE23" s="623"/>
      <c r="BVF23" s="623"/>
      <c r="BVG23" s="623"/>
      <c r="BVH23" s="623"/>
      <c r="BVI23" s="623"/>
      <c r="BVJ23" s="623"/>
      <c r="BVK23" s="623"/>
      <c r="BVL23" s="623"/>
      <c r="BVM23" s="623"/>
      <c r="BVN23" s="623"/>
      <c r="BVO23" s="623"/>
      <c r="BVP23" s="623"/>
      <c r="BVQ23" s="623"/>
      <c r="BVR23" s="623"/>
      <c r="BVS23" s="623"/>
      <c r="BVT23" s="623"/>
      <c r="BVU23" s="623"/>
      <c r="BVV23" s="623"/>
      <c r="BVW23" s="623"/>
      <c r="BVX23" s="623"/>
      <c r="BVY23" s="623"/>
      <c r="BVZ23" s="623"/>
      <c r="BWA23" s="623"/>
      <c r="BWB23" s="623"/>
      <c r="BWC23" s="623"/>
      <c r="BWD23" s="623"/>
      <c r="BWE23" s="623"/>
      <c r="BWF23" s="623"/>
      <c r="BWG23" s="623"/>
      <c r="BWH23" s="623"/>
      <c r="BWI23" s="623"/>
      <c r="BWJ23" s="623"/>
      <c r="BWK23" s="623"/>
      <c r="BWL23" s="623"/>
      <c r="BWM23" s="623"/>
      <c r="BWN23" s="623"/>
      <c r="BWO23" s="623"/>
      <c r="BWP23" s="623"/>
      <c r="BWQ23" s="623"/>
      <c r="BWR23" s="623"/>
      <c r="BWS23" s="623"/>
      <c r="BWT23" s="623"/>
      <c r="BWU23" s="623"/>
      <c r="BWV23" s="623"/>
      <c r="BWW23" s="623"/>
      <c r="BWX23" s="623"/>
      <c r="BWY23" s="623"/>
      <c r="BWZ23" s="623"/>
      <c r="BXA23" s="623"/>
      <c r="BXB23" s="623"/>
      <c r="BXC23" s="623"/>
      <c r="BXD23" s="623"/>
      <c r="BXE23" s="623"/>
      <c r="BXF23" s="623"/>
      <c r="BXG23" s="623"/>
      <c r="BXH23" s="623"/>
      <c r="BXI23" s="623"/>
      <c r="BXJ23" s="623"/>
      <c r="BXK23" s="623"/>
      <c r="BXL23" s="623"/>
      <c r="BXM23" s="623"/>
      <c r="BXN23" s="623"/>
      <c r="BXO23" s="623"/>
      <c r="BXP23" s="623"/>
      <c r="BXQ23" s="623"/>
      <c r="BXR23" s="623"/>
      <c r="BXS23" s="623"/>
      <c r="BXT23" s="623"/>
      <c r="BXU23" s="623"/>
      <c r="BXV23" s="623"/>
      <c r="BXW23" s="623"/>
      <c r="BXX23" s="623"/>
      <c r="BXY23" s="623"/>
      <c r="BXZ23" s="623"/>
      <c r="BYA23" s="623"/>
      <c r="BYB23" s="623"/>
      <c r="BYC23" s="623"/>
      <c r="BYD23" s="623"/>
      <c r="BYE23" s="623"/>
      <c r="BYF23" s="623"/>
      <c r="BYG23" s="623"/>
      <c r="BYH23" s="623"/>
      <c r="BYI23" s="623"/>
      <c r="BYJ23" s="623"/>
      <c r="BYK23" s="623"/>
      <c r="BYL23" s="623"/>
      <c r="BYM23" s="623"/>
      <c r="BYN23" s="623"/>
      <c r="BYO23" s="623"/>
      <c r="BYP23" s="623"/>
      <c r="BYQ23" s="623"/>
      <c r="BYR23" s="623"/>
      <c r="BYS23" s="623"/>
      <c r="BYT23" s="623"/>
      <c r="BYU23" s="623"/>
      <c r="BYV23" s="623"/>
      <c r="BYW23" s="623"/>
      <c r="BYX23" s="623"/>
      <c r="BYY23" s="623"/>
      <c r="BYZ23" s="623"/>
      <c r="BZA23" s="623"/>
      <c r="BZB23" s="623"/>
      <c r="BZC23" s="623"/>
      <c r="BZD23" s="623"/>
      <c r="BZE23" s="623"/>
      <c r="BZF23" s="623"/>
      <c r="BZG23" s="623"/>
      <c r="BZH23" s="623"/>
      <c r="BZI23" s="623"/>
      <c r="BZJ23" s="623"/>
      <c r="BZK23" s="623"/>
      <c r="BZL23" s="623"/>
      <c r="BZM23" s="623"/>
      <c r="BZN23" s="623"/>
      <c r="BZO23" s="623"/>
      <c r="BZP23" s="623"/>
      <c r="BZQ23" s="623"/>
      <c r="BZR23" s="623"/>
      <c r="BZS23" s="623"/>
      <c r="BZT23" s="623"/>
      <c r="BZU23" s="623"/>
      <c r="BZV23" s="623"/>
      <c r="BZW23" s="623"/>
      <c r="BZX23" s="623"/>
      <c r="BZY23" s="623"/>
      <c r="BZZ23" s="623"/>
      <c r="CAA23" s="623"/>
      <c r="CAB23" s="623"/>
      <c r="CAC23" s="623"/>
      <c r="CAD23" s="623"/>
      <c r="CAE23" s="623"/>
      <c r="CAF23" s="623"/>
      <c r="CAG23" s="623"/>
      <c r="CAH23" s="623"/>
      <c r="CAI23" s="623"/>
      <c r="CAJ23" s="623"/>
      <c r="CAK23" s="623"/>
      <c r="CAL23" s="623"/>
      <c r="CAM23" s="623"/>
      <c r="CAN23" s="623"/>
      <c r="CAO23" s="623"/>
      <c r="CAP23" s="623"/>
      <c r="CAQ23" s="623"/>
      <c r="CAR23" s="623"/>
      <c r="CAS23" s="623"/>
      <c r="CAT23" s="623"/>
      <c r="CAU23" s="623"/>
      <c r="CAV23" s="623"/>
      <c r="CAW23" s="623"/>
      <c r="CAX23" s="623"/>
      <c r="CAY23" s="623"/>
      <c r="CAZ23" s="623"/>
      <c r="CBA23" s="623"/>
      <c r="CBB23" s="623"/>
      <c r="CBC23" s="623"/>
      <c r="CBD23" s="623"/>
      <c r="CBE23" s="623"/>
      <c r="CBF23" s="623"/>
      <c r="CBG23" s="623"/>
      <c r="CBH23" s="623"/>
      <c r="CBI23" s="623"/>
      <c r="CBJ23" s="623"/>
      <c r="CBK23" s="623"/>
      <c r="CBL23" s="623"/>
      <c r="CBM23" s="623"/>
      <c r="CBN23" s="623"/>
      <c r="CBO23" s="623"/>
      <c r="CBP23" s="623"/>
      <c r="CBQ23" s="623"/>
      <c r="CBR23" s="623"/>
      <c r="CBS23" s="623"/>
      <c r="CBT23" s="623"/>
      <c r="CBU23" s="623"/>
      <c r="CBV23" s="623"/>
      <c r="CBW23" s="623"/>
      <c r="CBX23" s="623"/>
      <c r="CBY23" s="623"/>
      <c r="CBZ23" s="623"/>
      <c r="CCA23" s="623"/>
      <c r="CCB23" s="623"/>
      <c r="CCC23" s="623"/>
      <c r="CCD23" s="623"/>
      <c r="CCE23" s="623"/>
      <c r="CCF23" s="623"/>
      <c r="CCG23" s="623"/>
      <c r="CCH23" s="623"/>
      <c r="CCI23" s="623"/>
      <c r="CCJ23" s="623"/>
      <c r="CCK23" s="623"/>
      <c r="CCL23" s="623"/>
      <c r="CCM23" s="623"/>
      <c r="CCN23" s="623"/>
      <c r="CCO23" s="623"/>
      <c r="CCP23" s="623"/>
      <c r="CCQ23" s="623"/>
      <c r="CCR23" s="623"/>
      <c r="CCS23" s="623"/>
      <c r="CCT23" s="623"/>
      <c r="CCU23" s="623"/>
      <c r="CCV23" s="623"/>
      <c r="CCW23" s="623"/>
      <c r="CCX23" s="623"/>
      <c r="CCY23" s="623"/>
      <c r="CCZ23" s="623"/>
      <c r="CDA23" s="623"/>
      <c r="CDB23" s="623"/>
      <c r="CDC23" s="623"/>
      <c r="CDD23" s="623"/>
      <c r="CDE23" s="623"/>
      <c r="CDF23" s="623"/>
      <c r="CDG23" s="623"/>
      <c r="CDH23" s="623"/>
      <c r="CDI23" s="623"/>
      <c r="CDJ23" s="623"/>
      <c r="CDK23" s="623"/>
      <c r="CDL23" s="623"/>
      <c r="CDM23" s="623"/>
      <c r="CDN23" s="623"/>
      <c r="CDO23" s="623"/>
      <c r="CDP23" s="623"/>
      <c r="CDQ23" s="623"/>
      <c r="CDR23" s="623"/>
      <c r="CDS23" s="623"/>
      <c r="CDT23" s="623"/>
      <c r="CDU23" s="623"/>
      <c r="CDV23" s="623"/>
      <c r="CDW23" s="623"/>
      <c r="CDX23" s="623"/>
      <c r="CDY23" s="623"/>
      <c r="CDZ23" s="623"/>
      <c r="CEA23" s="623"/>
      <c r="CEB23" s="623"/>
      <c r="CEC23" s="623"/>
      <c r="CED23" s="623"/>
      <c r="CEE23" s="623"/>
      <c r="CEF23" s="623"/>
      <c r="CEG23" s="623"/>
      <c r="CEH23" s="623"/>
      <c r="CEI23" s="623"/>
      <c r="CEJ23" s="623"/>
      <c r="CEK23" s="623"/>
      <c r="CEL23" s="623"/>
      <c r="CEM23" s="623"/>
      <c r="CEN23" s="623"/>
      <c r="CEO23" s="623"/>
      <c r="CEP23" s="623"/>
      <c r="CEQ23" s="623"/>
      <c r="CER23" s="623"/>
      <c r="CES23" s="623"/>
      <c r="CET23" s="623"/>
      <c r="CEU23" s="623"/>
      <c r="CEV23" s="623"/>
      <c r="CEW23" s="623"/>
      <c r="CEX23" s="623"/>
      <c r="CEY23" s="623"/>
      <c r="CEZ23" s="623"/>
      <c r="CFA23" s="623"/>
      <c r="CFB23" s="623"/>
      <c r="CFC23" s="623"/>
      <c r="CFD23" s="623"/>
      <c r="CFE23" s="623"/>
      <c r="CFF23" s="623"/>
      <c r="CFG23" s="623"/>
      <c r="CFH23" s="623"/>
      <c r="CFI23" s="623"/>
      <c r="CFJ23" s="623"/>
      <c r="CFK23" s="623"/>
      <c r="CFL23" s="623"/>
      <c r="CFM23" s="623"/>
      <c r="CFN23" s="623"/>
      <c r="CFO23" s="623"/>
      <c r="CFP23" s="623"/>
      <c r="CFQ23" s="623"/>
      <c r="CFR23" s="623"/>
      <c r="CFS23" s="623"/>
      <c r="CFT23" s="623"/>
      <c r="CFU23" s="623"/>
      <c r="CFV23" s="623"/>
      <c r="CFW23" s="623"/>
      <c r="CFX23" s="623"/>
      <c r="CFY23" s="623"/>
      <c r="CFZ23" s="623"/>
      <c r="CGA23" s="623"/>
      <c r="CGB23" s="623"/>
      <c r="CGC23" s="623"/>
      <c r="CGD23" s="623"/>
      <c r="CGE23" s="623"/>
      <c r="CGF23" s="623"/>
      <c r="CGG23" s="623"/>
      <c r="CGH23" s="623"/>
      <c r="CGI23" s="623"/>
      <c r="CGJ23" s="623"/>
      <c r="CGK23" s="623"/>
      <c r="CGL23" s="623"/>
      <c r="CGM23" s="623"/>
      <c r="CGN23" s="623"/>
      <c r="CGO23" s="623"/>
      <c r="CGP23" s="623"/>
      <c r="CGQ23" s="623"/>
      <c r="CGR23" s="623"/>
      <c r="CGS23" s="623"/>
      <c r="CGT23" s="623"/>
      <c r="CGU23" s="623"/>
      <c r="CGV23" s="623"/>
      <c r="CGW23" s="623"/>
      <c r="CGX23" s="623"/>
      <c r="CGY23" s="623"/>
      <c r="CGZ23" s="623"/>
      <c r="CHA23" s="623"/>
      <c r="CHB23" s="623"/>
      <c r="CHC23" s="623"/>
      <c r="CHD23" s="623"/>
      <c r="CHE23" s="623"/>
      <c r="CHF23" s="623"/>
      <c r="CHG23" s="623"/>
      <c r="CHH23" s="623"/>
      <c r="CHI23" s="623"/>
      <c r="CHJ23" s="623"/>
      <c r="CHK23" s="623"/>
      <c r="CHL23" s="623"/>
      <c r="CHM23" s="623"/>
      <c r="CHN23" s="623"/>
      <c r="CHO23" s="623"/>
      <c r="CHP23" s="623"/>
      <c r="CHQ23" s="623"/>
      <c r="CHR23" s="623"/>
      <c r="CHS23" s="623"/>
      <c r="CHT23" s="623"/>
      <c r="CHU23" s="623"/>
      <c r="CHV23" s="623"/>
      <c r="CHW23" s="623"/>
      <c r="CHX23" s="623"/>
      <c r="CHY23" s="623"/>
      <c r="CHZ23" s="623"/>
      <c r="CIA23" s="623"/>
      <c r="CIB23" s="623"/>
      <c r="CIC23" s="623"/>
      <c r="CID23" s="623"/>
      <c r="CIE23" s="623"/>
      <c r="CIF23" s="623"/>
      <c r="CIG23" s="623"/>
      <c r="CIH23" s="623"/>
      <c r="CII23" s="623"/>
      <c r="CIJ23" s="623"/>
      <c r="CIK23" s="623"/>
      <c r="CIL23" s="623"/>
      <c r="CIM23" s="623"/>
      <c r="CIN23" s="623"/>
      <c r="CIO23" s="623"/>
      <c r="CIP23" s="623"/>
      <c r="CIQ23" s="623"/>
      <c r="CIR23" s="623"/>
      <c r="CIS23" s="623"/>
      <c r="CIT23" s="623"/>
      <c r="CIU23" s="623"/>
      <c r="CIV23" s="623"/>
      <c r="CIW23" s="623"/>
      <c r="CIX23" s="623"/>
      <c r="CIY23" s="623"/>
      <c r="CIZ23" s="623"/>
      <c r="CJA23" s="623"/>
      <c r="CJB23" s="623"/>
      <c r="CJC23" s="623"/>
      <c r="CJD23" s="623"/>
      <c r="CJE23" s="623"/>
      <c r="CJF23" s="623"/>
      <c r="CJG23" s="623"/>
      <c r="CJH23" s="623"/>
      <c r="CJI23" s="623"/>
      <c r="CJJ23" s="623"/>
      <c r="CJK23" s="623"/>
      <c r="CJL23" s="623"/>
      <c r="CJM23" s="623"/>
      <c r="CJN23" s="623"/>
      <c r="CJO23" s="623"/>
      <c r="CJP23" s="623"/>
      <c r="CJQ23" s="623"/>
      <c r="CJR23" s="623"/>
      <c r="CJS23" s="623"/>
      <c r="CJT23" s="623"/>
      <c r="CJU23" s="623"/>
      <c r="CJV23" s="623"/>
      <c r="CJW23" s="623"/>
      <c r="CJX23" s="623"/>
      <c r="CJY23" s="623"/>
      <c r="CJZ23" s="623"/>
      <c r="CKA23" s="623"/>
      <c r="CKB23" s="623"/>
      <c r="CKC23" s="623"/>
      <c r="CKD23" s="623"/>
      <c r="CKE23" s="623"/>
      <c r="CKF23" s="623"/>
      <c r="CKG23" s="623"/>
      <c r="CKH23" s="623"/>
      <c r="CKI23" s="623"/>
      <c r="CKJ23" s="623"/>
      <c r="CKK23" s="623"/>
      <c r="CKL23" s="623"/>
      <c r="CKM23" s="623"/>
      <c r="CKN23" s="623"/>
      <c r="CKO23" s="623"/>
      <c r="CKP23" s="623"/>
      <c r="CKQ23" s="623"/>
      <c r="CKR23" s="623"/>
      <c r="CKS23" s="623"/>
      <c r="CKT23" s="623"/>
      <c r="CKU23" s="623"/>
      <c r="CKV23" s="623"/>
      <c r="CKW23" s="623"/>
      <c r="CKX23" s="623"/>
      <c r="CKY23" s="623"/>
      <c r="CKZ23" s="623"/>
      <c r="CLA23" s="623"/>
      <c r="CLB23" s="623"/>
      <c r="CLC23" s="623"/>
      <c r="CLD23" s="623"/>
      <c r="CLE23" s="623"/>
      <c r="CLF23" s="623"/>
      <c r="CLG23" s="623"/>
      <c r="CLH23" s="623"/>
      <c r="CLI23" s="623"/>
      <c r="CLJ23" s="623"/>
      <c r="CLK23" s="623"/>
      <c r="CLL23" s="623"/>
      <c r="CLM23" s="623"/>
      <c r="CLN23" s="623"/>
      <c r="CLO23" s="623"/>
      <c r="CLP23" s="623"/>
      <c r="CLQ23" s="623"/>
      <c r="CLR23" s="623"/>
      <c r="CLS23" s="623"/>
      <c r="CLT23" s="623"/>
      <c r="CLU23" s="623"/>
      <c r="CLV23" s="623"/>
      <c r="CLW23" s="623"/>
      <c r="CLX23" s="623"/>
      <c r="CLY23" s="623"/>
      <c r="CLZ23" s="623"/>
      <c r="CMA23" s="623"/>
      <c r="CMB23" s="623"/>
      <c r="CMC23" s="623"/>
      <c r="CMD23" s="623"/>
      <c r="CME23" s="623"/>
      <c r="CMF23" s="623"/>
      <c r="CMG23" s="623"/>
      <c r="CMH23" s="623"/>
      <c r="CMI23" s="623"/>
      <c r="CMJ23" s="623"/>
      <c r="CMK23" s="623"/>
      <c r="CML23" s="623"/>
      <c r="CMM23" s="623"/>
      <c r="CMN23" s="623"/>
      <c r="CMO23" s="623"/>
      <c r="CMP23" s="623"/>
      <c r="CMQ23" s="623"/>
      <c r="CMR23" s="623"/>
      <c r="CMS23" s="623"/>
      <c r="CMT23" s="623"/>
      <c r="CMU23" s="623"/>
      <c r="CMV23" s="623"/>
      <c r="CMW23" s="623"/>
      <c r="CMX23" s="623"/>
      <c r="CMY23" s="623"/>
      <c r="CMZ23" s="623"/>
      <c r="CNA23" s="623"/>
      <c r="CNB23" s="623"/>
      <c r="CNC23" s="623"/>
      <c r="CND23" s="623"/>
      <c r="CNE23" s="623"/>
      <c r="CNF23" s="623"/>
      <c r="CNG23" s="623"/>
      <c r="CNH23" s="623"/>
      <c r="CNI23" s="623"/>
      <c r="CNJ23" s="623"/>
      <c r="CNK23" s="623"/>
      <c r="CNL23" s="623"/>
      <c r="CNM23" s="623"/>
      <c r="CNN23" s="623"/>
      <c r="CNO23" s="623"/>
      <c r="CNP23" s="623"/>
      <c r="CNQ23" s="623"/>
      <c r="CNR23" s="623"/>
      <c r="CNS23" s="623"/>
      <c r="CNT23" s="623"/>
      <c r="CNU23" s="623"/>
      <c r="CNV23" s="623"/>
      <c r="CNW23" s="623"/>
      <c r="CNX23" s="623"/>
      <c r="CNY23" s="623"/>
      <c r="CNZ23" s="623"/>
      <c r="COA23" s="623"/>
      <c r="COB23" s="623"/>
      <c r="COC23" s="623"/>
      <c r="COD23" s="623"/>
      <c r="COE23" s="623"/>
      <c r="COF23" s="623"/>
      <c r="COG23" s="623"/>
      <c r="COH23" s="623"/>
      <c r="COI23" s="623"/>
      <c r="COJ23" s="623"/>
      <c r="COK23" s="623"/>
      <c r="COL23" s="623"/>
      <c r="COM23" s="623"/>
      <c r="CON23" s="623"/>
      <c r="COO23" s="623"/>
      <c r="COP23" s="623"/>
      <c r="COQ23" s="623"/>
      <c r="COR23" s="623"/>
      <c r="COS23" s="623"/>
      <c r="COT23" s="623"/>
      <c r="COU23" s="623"/>
      <c r="COV23" s="623"/>
      <c r="COW23" s="623"/>
      <c r="COX23" s="623"/>
      <c r="COY23" s="623"/>
      <c r="COZ23" s="623"/>
      <c r="CPA23" s="623"/>
      <c r="CPB23" s="623"/>
      <c r="CPC23" s="623"/>
      <c r="CPD23" s="623"/>
      <c r="CPE23" s="623"/>
      <c r="CPF23" s="623"/>
      <c r="CPG23" s="623"/>
      <c r="CPH23" s="623"/>
      <c r="CPI23" s="623"/>
      <c r="CPJ23" s="623"/>
      <c r="CPK23" s="623"/>
      <c r="CPL23" s="623"/>
      <c r="CPM23" s="623"/>
      <c r="CPN23" s="623"/>
      <c r="CPO23" s="623"/>
      <c r="CPP23" s="623"/>
      <c r="CPQ23" s="623"/>
      <c r="CPR23" s="623"/>
      <c r="CPS23" s="623"/>
      <c r="CPT23" s="623"/>
      <c r="CPU23" s="623"/>
      <c r="CPV23" s="623"/>
      <c r="CPW23" s="623"/>
      <c r="CPX23" s="623"/>
      <c r="CPY23" s="623"/>
      <c r="CPZ23" s="623"/>
      <c r="CQA23" s="623"/>
      <c r="CQB23" s="623"/>
      <c r="CQC23" s="623"/>
      <c r="CQD23" s="623"/>
      <c r="CQE23" s="623"/>
      <c r="CQF23" s="623"/>
      <c r="CQG23" s="623"/>
      <c r="CQH23" s="623"/>
      <c r="CQI23" s="623"/>
      <c r="CQJ23" s="623"/>
      <c r="CQK23" s="623"/>
      <c r="CQL23" s="623"/>
      <c r="CQM23" s="623"/>
      <c r="CQN23" s="623"/>
      <c r="CQO23" s="623"/>
      <c r="CQP23" s="623"/>
      <c r="CQQ23" s="623"/>
      <c r="CQR23" s="623"/>
      <c r="CQS23" s="623"/>
      <c r="CQT23" s="623"/>
      <c r="CQU23" s="623"/>
      <c r="CQV23" s="623"/>
      <c r="CQW23" s="623"/>
      <c r="CQX23" s="623"/>
      <c r="CQY23" s="623"/>
      <c r="CQZ23" s="623"/>
      <c r="CRA23" s="623"/>
      <c r="CRB23" s="623"/>
      <c r="CRC23" s="623"/>
      <c r="CRD23" s="623"/>
      <c r="CRE23" s="623"/>
      <c r="CRF23" s="623"/>
      <c r="CRG23" s="623"/>
      <c r="CRH23" s="623"/>
      <c r="CRI23" s="623"/>
      <c r="CRJ23" s="623"/>
      <c r="CRK23" s="623"/>
      <c r="CRL23" s="623"/>
      <c r="CRM23" s="623"/>
      <c r="CRN23" s="623"/>
      <c r="CRO23" s="623"/>
      <c r="CRP23" s="623"/>
      <c r="CRQ23" s="623"/>
      <c r="CRR23" s="623"/>
      <c r="CRS23" s="623"/>
      <c r="CRT23" s="623"/>
      <c r="CRU23" s="623"/>
      <c r="CRV23" s="623"/>
      <c r="CRW23" s="623"/>
      <c r="CRX23" s="623"/>
      <c r="CRY23" s="623"/>
      <c r="CRZ23" s="623"/>
      <c r="CSA23" s="623"/>
      <c r="CSB23" s="623"/>
      <c r="CSC23" s="623"/>
      <c r="CSD23" s="623"/>
      <c r="CSE23" s="623"/>
      <c r="CSF23" s="623"/>
      <c r="CSG23" s="623"/>
      <c r="CSH23" s="623"/>
      <c r="CSI23" s="623"/>
      <c r="CSJ23" s="623"/>
      <c r="CSK23" s="623"/>
      <c r="CSL23" s="623"/>
      <c r="CSM23" s="623"/>
      <c r="CSN23" s="623"/>
      <c r="CSO23" s="623"/>
      <c r="CSP23" s="623"/>
      <c r="CSQ23" s="623"/>
      <c r="CSR23" s="623"/>
      <c r="CSS23" s="623"/>
      <c r="CST23" s="623"/>
      <c r="CSU23" s="623"/>
      <c r="CSV23" s="623"/>
      <c r="CSW23" s="623"/>
      <c r="CSX23" s="623"/>
      <c r="CSY23" s="623"/>
      <c r="CSZ23" s="623"/>
      <c r="CTA23" s="623"/>
      <c r="CTB23" s="623"/>
      <c r="CTC23" s="623"/>
      <c r="CTD23" s="623"/>
      <c r="CTE23" s="623"/>
      <c r="CTF23" s="623"/>
      <c r="CTG23" s="623"/>
      <c r="CTH23" s="623"/>
      <c r="CTI23" s="623"/>
      <c r="CTJ23" s="623"/>
      <c r="CTK23" s="623"/>
      <c r="CTL23" s="623"/>
      <c r="CTM23" s="623"/>
      <c r="CTN23" s="623"/>
      <c r="CTO23" s="623"/>
      <c r="CTP23" s="623"/>
      <c r="CTQ23" s="623"/>
      <c r="CTR23" s="623"/>
      <c r="CTS23" s="623"/>
      <c r="CTT23" s="623"/>
      <c r="CTU23" s="623"/>
      <c r="CTV23" s="623"/>
      <c r="CTW23" s="623"/>
      <c r="CTX23" s="623"/>
      <c r="CTY23" s="623"/>
      <c r="CTZ23" s="623"/>
      <c r="CUA23" s="623"/>
      <c r="CUB23" s="623"/>
      <c r="CUC23" s="623"/>
      <c r="CUD23" s="623"/>
      <c r="CUE23" s="623"/>
      <c r="CUF23" s="623"/>
      <c r="CUG23" s="623"/>
      <c r="CUH23" s="623"/>
      <c r="CUI23" s="623"/>
      <c r="CUJ23" s="623"/>
      <c r="CUK23" s="623"/>
      <c r="CUL23" s="623"/>
      <c r="CUM23" s="623"/>
      <c r="CUN23" s="623"/>
      <c r="CUO23" s="623"/>
      <c r="CUP23" s="623"/>
      <c r="CUQ23" s="623"/>
      <c r="CUR23" s="623"/>
      <c r="CUS23" s="623"/>
      <c r="CUT23" s="623"/>
      <c r="CUU23" s="623"/>
      <c r="CUV23" s="623"/>
      <c r="CUW23" s="623"/>
      <c r="CUX23" s="623"/>
      <c r="CUY23" s="623"/>
      <c r="CUZ23" s="623"/>
      <c r="CVA23" s="623"/>
      <c r="CVB23" s="623"/>
      <c r="CVC23" s="623"/>
      <c r="CVD23" s="623"/>
      <c r="CVE23" s="623"/>
      <c r="CVF23" s="623"/>
      <c r="CVG23" s="623"/>
      <c r="CVH23" s="623"/>
      <c r="CVI23" s="623"/>
      <c r="CVJ23" s="623"/>
      <c r="CVK23" s="623"/>
      <c r="CVL23" s="623"/>
      <c r="CVM23" s="623"/>
      <c r="CVN23" s="623"/>
      <c r="CVO23" s="623"/>
      <c r="CVP23" s="623"/>
      <c r="CVQ23" s="623"/>
      <c r="CVR23" s="623"/>
      <c r="CVS23" s="623"/>
      <c r="CVT23" s="623"/>
      <c r="CVU23" s="623"/>
      <c r="CVV23" s="623"/>
      <c r="CVW23" s="623"/>
      <c r="CVX23" s="623"/>
      <c r="CVY23" s="623"/>
      <c r="CVZ23" s="623"/>
      <c r="CWA23" s="623"/>
      <c r="CWB23" s="623"/>
      <c r="CWC23" s="623"/>
      <c r="CWD23" s="623"/>
      <c r="CWE23" s="623"/>
      <c r="CWF23" s="623"/>
      <c r="CWG23" s="623"/>
      <c r="CWH23" s="623"/>
      <c r="CWI23" s="623"/>
      <c r="CWJ23" s="623"/>
      <c r="CWK23" s="623"/>
      <c r="CWL23" s="623"/>
      <c r="CWM23" s="623"/>
      <c r="CWN23" s="623"/>
      <c r="CWO23" s="623"/>
      <c r="CWP23" s="623"/>
      <c r="CWQ23" s="623"/>
      <c r="CWR23" s="623"/>
      <c r="CWS23" s="623"/>
      <c r="CWT23" s="623"/>
      <c r="CWU23" s="623"/>
      <c r="CWV23" s="623"/>
      <c r="CWW23" s="623"/>
      <c r="CWX23" s="623"/>
      <c r="CWY23" s="623"/>
      <c r="CWZ23" s="623"/>
      <c r="CXA23" s="623"/>
      <c r="CXB23" s="623"/>
      <c r="CXC23" s="623"/>
      <c r="CXD23" s="623"/>
      <c r="CXE23" s="623"/>
      <c r="CXF23" s="623"/>
      <c r="CXG23" s="623"/>
      <c r="CXH23" s="623"/>
      <c r="CXI23" s="623"/>
      <c r="CXJ23" s="623"/>
      <c r="CXK23" s="623"/>
      <c r="CXL23" s="623"/>
      <c r="CXM23" s="623"/>
      <c r="CXN23" s="623"/>
      <c r="CXO23" s="623"/>
      <c r="CXP23" s="623"/>
      <c r="CXQ23" s="623"/>
      <c r="CXR23" s="623"/>
      <c r="CXS23" s="623"/>
      <c r="CXT23" s="623"/>
      <c r="CXU23" s="623"/>
      <c r="CXV23" s="623"/>
      <c r="CXW23" s="623"/>
      <c r="CXX23" s="623"/>
      <c r="CXY23" s="623"/>
      <c r="CXZ23" s="623"/>
      <c r="CYA23" s="623"/>
      <c r="CYB23" s="623"/>
      <c r="CYC23" s="623"/>
      <c r="CYD23" s="623"/>
      <c r="CYE23" s="623"/>
      <c r="CYF23" s="623"/>
      <c r="CYG23" s="623"/>
      <c r="CYH23" s="623"/>
      <c r="CYI23" s="623"/>
      <c r="CYJ23" s="623"/>
      <c r="CYK23" s="623"/>
      <c r="CYL23" s="623"/>
      <c r="CYM23" s="623"/>
      <c r="CYN23" s="623"/>
      <c r="CYO23" s="623"/>
      <c r="CYP23" s="623"/>
      <c r="CYQ23" s="623"/>
      <c r="CYR23" s="623"/>
      <c r="CYS23" s="623"/>
      <c r="CYT23" s="623"/>
      <c r="CYU23" s="623"/>
      <c r="CYV23" s="623"/>
      <c r="CYW23" s="623"/>
      <c r="CYX23" s="623"/>
      <c r="CYY23" s="623"/>
      <c r="CYZ23" s="623"/>
      <c r="CZA23" s="623"/>
      <c r="CZB23" s="623"/>
      <c r="CZC23" s="623"/>
      <c r="CZD23" s="623"/>
      <c r="CZE23" s="623"/>
      <c r="CZF23" s="623"/>
      <c r="CZG23" s="623"/>
      <c r="CZH23" s="623"/>
      <c r="CZI23" s="623"/>
      <c r="CZJ23" s="623"/>
      <c r="CZK23" s="623"/>
      <c r="CZL23" s="623"/>
      <c r="CZM23" s="623"/>
      <c r="CZN23" s="623"/>
      <c r="CZO23" s="623"/>
      <c r="CZP23" s="623"/>
      <c r="CZQ23" s="623"/>
      <c r="CZR23" s="623"/>
      <c r="CZS23" s="623"/>
      <c r="CZT23" s="623"/>
      <c r="CZU23" s="623"/>
      <c r="CZV23" s="623"/>
      <c r="CZW23" s="623"/>
      <c r="CZX23" s="623"/>
      <c r="CZY23" s="623"/>
      <c r="CZZ23" s="623"/>
      <c r="DAA23" s="623"/>
      <c r="DAB23" s="623"/>
      <c r="DAC23" s="623"/>
      <c r="DAD23" s="623"/>
      <c r="DAE23" s="623"/>
      <c r="DAF23" s="623"/>
      <c r="DAG23" s="623"/>
      <c r="DAH23" s="623"/>
      <c r="DAI23" s="623"/>
      <c r="DAJ23" s="623"/>
      <c r="DAK23" s="623"/>
      <c r="DAL23" s="623"/>
      <c r="DAM23" s="623"/>
      <c r="DAN23" s="623"/>
      <c r="DAO23" s="623"/>
      <c r="DAP23" s="623"/>
      <c r="DAQ23" s="623"/>
      <c r="DAR23" s="623"/>
      <c r="DAS23" s="623"/>
      <c r="DAT23" s="623"/>
      <c r="DAU23" s="623"/>
      <c r="DAV23" s="623"/>
      <c r="DAW23" s="623"/>
      <c r="DAX23" s="623"/>
      <c r="DAY23" s="623"/>
      <c r="DAZ23" s="623"/>
      <c r="DBA23" s="623"/>
      <c r="DBB23" s="623"/>
      <c r="DBC23" s="623"/>
      <c r="DBD23" s="623"/>
      <c r="DBE23" s="623"/>
      <c r="DBF23" s="623"/>
      <c r="DBG23" s="623"/>
      <c r="DBH23" s="623"/>
      <c r="DBI23" s="623"/>
      <c r="DBJ23" s="623"/>
      <c r="DBK23" s="623"/>
      <c r="DBL23" s="623"/>
      <c r="DBM23" s="623"/>
      <c r="DBN23" s="623"/>
      <c r="DBO23" s="623"/>
      <c r="DBP23" s="623"/>
      <c r="DBQ23" s="623"/>
      <c r="DBR23" s="623"/>
      <c r="DBS23" s="623"/>
      <c r="DBT23" s="623"/>
      <c r="DBU23" s="623"/>
      <c r="DBV23" s="623"/>
      <c r="DBW23" s="623"/>
      <c r="DBX23" s="623"/>
      <c r="DBY23" s="623"/>
      <c r="DBZ23" s="623"/>
      <c r="DCA23" s="623"/>
      <c r="DCB23" s="623"/>
      <c r="DCC23" s="623"/>
      <c r="DCD23" s="623"/>
      <c r="DCE23" s="623"/>
      <c r="DCF23" s="623"/>
      <c r="DCG23" s="623"/>
      <c r="DCH23" s="623"/>
      <c r="DCI23" s="623"/>
      <c r="DCJ23" s="623"/>
      <c r="DCK23" s="623"/>
      <c r="DCL23" s="623"/>
      <c r="DCM23" s="623"/>
      <c r="DCN23" s="623"/>
      <c r="DCO23" s="623"/>
      <c r="DCP23" s="623"/>
      <c r="DCQ23" s="623"/>
      <c r="DCR23" s="623"/>
      <c r="DCS23" s="623"/>
      <c r="DCT23" s="623"/>
      <c r="DCU23" s="623"/>
      <c r="DCV23" s="623"/>
      <c r="DCW23" s="623"/>
      <c r="DCX23" s="623"/>
      <c r="DCY23" s="623"/>
      <c r="DCZ23" s="623"/>
      <c r="DDA23" s="623"/>
      <c r="DDB23" s="623"/>
      <c r="DDC23" s="623"/>
      <c r="DDD23" s="623"/>
      <c r="DDE23" s="623"/>
      <c r="DDF23" s="623"/>
      <c r="DDG23" s="623"/>
      <c r="DDH23" s="623"/>
      <c r="DDI23" s="623"/>
      <c r="DDJ23" s="623"/>
      <c r="DDK23" s="623"/>
      <c r="DDL23" s="623"/>
      <c r="DDM23" s="623"/>
      <c r="DDN23" s="623"/>
      <c r="DDO23" s="623"/>
      <c r="DDP23" s="623"/>
      <c r="DDQ23" s="623"/>
      <c r="DDR23" s="623"/>
      <c r="DDS23" s="623"/>
      <c r="DDT23" s="623"/>
      <c r="DDU23" s="623"/>
      <c r="DDV23" s="623"/>
      <c r="DDW23" s="623"/>
      <c r="DDX23" s="623"/>
      <c r="DDY23" s="623"/>
      <c r="DDZ23" s="623"/>
      <c r="DEA23" s="623"/>
      <c r="DEB23" s="623"/>
      <c r="DEC23" s="623"/>
      <c r="DED23" s="623"/>
      <c r="DEE23" s="623"/>
      <c r="DEF23" s="623"/>
      <c r="DEG23" s="623"/>
      <c r="DEH23" s="623"/>
      <c r="DEI23" s="623"/>
      <c r="DEJ23" s="623"/>
      <c r="DEK23" s="623"/>
      <c r="DEL23" s="623"/>
      <c r="DEM23" s="623"/>
      <c r="DEN23" s="623"/>
      <c r="DEO23" s="623"/>
      <c r="DEP23" s="623"/>
      <c r="DEQ23" s="623"/>
      <c r="DER23" s="623"/>
      <c r="DES23" s="623"/>
      <c r="DET23" s="623"/>
      <c r="DEU23" s="623"/>
      <c r="DEV23" s="623"/>
      <c r="DEW23" s="623"/>
      <c r="DEX23" s="623"/>
      <c r="DEY23" s="623"/>
      <c r="DEZ23" s="623"/>
      <c r="DFA23" s="623"/>
      <c r="DFB23" s="623"/>
      <c r="DFC23" s="623"/>
      <c r="DFD23" s="623"/>
      <c r="DFE23" s="623"/>
      <c r="DFF23" s="623"/>
      <c r="DFG23" s="623"/>
      <c r="DFH23" s="623"/>
      <c r="DFI23" s="623"/>
      <c r="DFJ23" s="623"/>
      <c r="DFK23" s="623"/>
      <c r="DFL23" s="623"/>
      <c r="DFM23" s="623"/>
      <c r="DFN23" s="623"/>
      <c r="DFO23" s="623"/>
      <c r="DFP23" s="623"/>
      <c r="DFQ23" s="623"/>
      <c r="DFR23" s="623"/>
      <c r="DFS23" s="623"/>
      <c r="DFT23" s="623"/>
      <c r="DFU23" s="623"/>
      <c r="DFV23" s="623"/>
      <c r="DFW23" s="623"/>
      <c r="DFX23" s="623"/>
      <c r="DFY23" s="623"/>
      <c r="DFZ23" s="623"/>
      <c r="DGA23" s="623"/>
      <c r="DGB23" s="623"/>
      <c r="DGC23" s="623"/>
      <c r="DGD23" s="623"/>
      <c r="DGE23" s="623"/>
      <c r="DGF23" s="623"/>
      <c r="DGG23" s="623"/>
      <c r="DGH23" s="623"/>
      <c r="DGI23" s="623"/>
      <c r="DGJ23" s="623"/>
      <c r="DGK23" s="623"/>
      <c r="DGL23" s="623"/>
      <c r="DGM23" s="623"/>
      <c r="DGN23" s="623"/>
      <c r="DGO23" s="623"/>
      <c r="DGP23" s="623"/>
      <c r="DGQ23" s="623"/>
      <c r="DGR23" s="623"/>
      <c r="DGS23" s="623"/>
      <c r="DGT23" s="623"/>
      <c r="DGU23" s="623"/>
      <c r="DGV23" s="623"/>
      <c r="DGW23" s="623"/>
      <c r="DGX23" s="623"/>
      <c r="DGY23" s="623"/>
      <c r="DGZ23" s="623"/>
      <c r="DHA23" s="623"/>
      <c r="DHB23" s="623"/>
      <c r="DHC23" s="623"/>
      <c r="DHD23" s="623"/>
      <c r="DHE23" s="623"/>
      <c r="DHF23" s="623"/>
      <c r="DHG23" s="623"/>
      <c r="DHH23" s="623"/>
      <c r="DHI23" s="623"/>
      <c r="DHJ23" s="623"/>
      <c r="DHK23" s="623"/>
      <c r="DHL23" s="623"/>
      <c r="DHM23" s="623"/>
      <c r="DHN23" s="623"/>
      <c r="DHO23" s="623"/>
      <c r="DHP23" s="623"/>
      <c r="DHQ23" s="623"/>
      <c r="DHR23" s="623"/>
      <c r="DHS23" s="623"/>
      <c r="DHT23" s="623"/>
      <c r="DHU23" s="623"/>
      <c r="DHV23" s="623"/>
      <c r="DHW23" s="623"/>
      <c r="DHX23" s="623"/>
      <c r="DHY23" s="623"/>
      <c r="DHZ23" s="623"/>
      <c r="DIA23" s="623"/>
      <c r="DIB23" s="623"/>
      <c r="DIC23" s="623"/>
      <c r="DID23" s="623"/>
      <c r="DIE23" s="623"/>
      <c r="DIF23" s="623"/>
      <c r="DIG23" s="623"/>
      <c r="DIH23" s="623"/>
      <c r="DII23" s="623"/>
      <c r="DIJ23" s="623"/>
      <c r="DIK23" s="623"/>
      <c r="DIL23" s="623"/>
      <c r="DIM23" s="623"/>
      <c r="DIN23" s="623"/>
      <c r="DIO23" s="623"/>
      <c r="DIP23" s="623"/>
      <c r="DIQ23" s="623"/>
      <c r="DIR23" s="623"/>
      <c r="DIS23" s="623"/>
      <c r="DIT23" s="623"/>
      <c r="DIU23" s="623"/>
      <c r="DIV23" s="623"/>
      <c r="DIW23" s="623"/>
      <c r="DIX23" s="623"/>
      <c r="DIY23" s="623"/>
      <c r="DIZ23" s="623"/>
      <c r="DJA23" s="623"/>
      <c r="DJB23" s="623"/>
      <c r="DJC23" s="623"/>
      <c r="DJD23" s="623"/>
      <c r="DJE23" s="623"/>
      <c r="DJF23" s="623"/>
      <c r="DJG23" s="623"/>
      <c r="DJH23" s="623"/>
      <c r="DJI23" s="623"/>
      <c r="DJJ23" s="623"/>
      <c r="DJK23" s="623"/>
      <c r="DJL23" s="623"/>
      <c r="DJM23" s="623"/>
      <c r="DJN23" s="623"/>
      <c r="DJO23" s="623"/>
      <c r="DJP23" s="623"/>
      <c r="DJQ23" s="623"/>
      <c r="DJR23" s="623"/>
      <c r="DJS23" s="623"/>
      <c r="DJT23" s="623"/>
      <c r="DJU23" s="623"/>
      <c r="DJV23" s="623"/>
      <c r="DJW23" s="623"/>
      <c r="DJX23" s="623"/>
      <c r="DJY23" s="623"/>
      <c r="DJZ23" s="623"/>
      <c r="DKA23" s="623"/>
      <c r="DKB23" s="623"/>
      <c r="DKC23" s="623"/>
      <c r="DKD23" s="623"/>
      <c r="DKE23" s="623"/>
      <c r="DKF23" s="623"/>
      <c r="DKG23" s="623"/>
      <c r="DKH23" s="623"/>
      <c r="DKI23" s="623"/>
      <c r="DKJ23" s="623"/>
      <c r="DKK23" s="623"/>
      <c r="DKL23" s="623"/>
      <c r="DKM23" s="623"/>
      <c r="DKN23" s="623"/>
      <c r="DKO23" s="623"/>
      <c r="DKP23" s="623"/>
      <c r="DKQ23" s="623"/>
      <c r="DKR23" s="623"/>
      <c r="DKS23" s="623"/>
      <c r="DKT23" s="623"/>
      <c r="DKU23" s="623"/>
      <c r="DKV23" s="623"/>
      <c r="DKW23" s="623"/>
      <c r="DKX23" s="623"/>
      <c r="DKY23" s="623"/>
      <c r="DKZ23" s="623"/>
      <c r="DLA23" s="623"/>
      <c r="DLB23" s="623"/>
      <c r="DLC23" s="623"/>
      <c r="DLD23" s="623"/>
      <c r="DLE23" s="623"/>
      <c r="DLF23" s="623"/>
      <c r="DLG23" s="623"/>
      <c r="DLH23" s="623"/>
      <c r="DLI23" s="623"/>
      <c r="DLJ23" s="623"/>
      <c r="DLK23" s="623"/>
      <c r="DLL23" s="623"/>
      <c r="DLM23" s="623"/>
      <c r="DLN23" s="623"/>
      <c r="DLO23" s="623"/>
      <c r="DLP23" s="623"/>
      <c r="DLQ23" s="623"/>
      <c r="DLR23" s="623"/>
      <c r="DLS23" s="623"/>
      <c r="DLT23" s="623"/>
      <c r="DLU23" s="623"/>
      <c r="DLV23" s="623"/>
      <c r="DLW23" s="623"/>
      <c r="DLX23" s="623"/>
      <c r="DLY23" s="623"/>
      <c r="DLZ23" s="623"/>
      <c r="DMA23" s="623"/>
      <c r="DMB23" s="623"/>
      <c r="DMC23" s="623"/>
      <c r="DMD23" s="623"/>
      <c r="DME23" s="623"/>
      <c r="DMF23" s="623"/>
      <c r="DMG23" s="623"/>
      <c r="DMH23" s="623"/>
      <c r="DMI23" s="623"/>
      <c r="DMJ23" s="623"/>
      <c r="DMK23" s="623"/>
      <c r="DML23" s="623"/>
      <c r="DMM23" s="623"/>
      <c r="DMN23" s="623"/>
      <c r="DMO23" s="623"/>
      <c r="DMP23" s="623"/>
      <c r="DMQ23" s="623"/>
      <c r="DMR23" s="623"/>
      <c r="DMS23" s="623"/>
      <c r="DMT23" s="623"/>
      <c r="DMU23" s="623"/>
      <c r="DMV23" s="623"/>
      <c r="DMW23" s="623"/>
      <c r="DMX23" s="623"/>
      <c r="DMY23" s="623"/>
      <c r="DMZ23" s="623"/>
      <c r="DNA23" s="623"/>
      <c r="DNB23" s="623"/>
      <c r="DNC23" s="623"/>
      <c r="DND23" s="623"/>
      <c r="DNE23" s="623"/>
      <c r="DNF23" s="623"/>
      <c r="DNG23" s="623"/>
      <c r="DNH23" s="623"/>
      <c r="DNI23" s="623"/>
      <c r="DNJ23" s="623"/>
      <c r="DNK23" s="623"/>
      <c r="DNL23" s="623"/>
      <c r="DNM23" s="623"/>
      <c r="DNN23" s="623"/>
      <c r="DNO23" s="623"/>
      <c r="DNP23" s="623"/>
      <c r="DNQ23" s="623"/>
      <c r="DNR23" s="623"/>
      <c r="DNS23" s="623"/>
      <c r="DNT23" s="623"/>
      <c r="DNU23" s="623"/>
      <c r="DNV23" s="623"/>
      <c r="DNW23" s="623"/>
      <c r="DNX23" s="623"/>
      <c r="DNY23" s="623"/>
      <c r="DNZ23" s="623"/>
      <c r="DOA23" s="623"/>
      <c r="DOB23" s="623"/>
      <c r="DOC23" s="623"/>
      <c r="DOD23" s="623"/>
      <c r="DOE23" s="623"/>
      <c r="DOF23" s="623"/>
      <c r="DOG23" s="623"/>
      <c r="DOH23" s="623"/>
      <c r="DOI23" s="623"/>
      <c r="DOJ23" s="623"/>
      <c r="DOK23" s="623"/>
      <c r="DOL23" s="623"/>
      <c r="DOM23" s="623"/>
      <c r="DON23" s="623"/>
      <c r="DOO23" s="623"/>
      <c r="DOP23" s="623"/>
      <c r="DOQ23" s="623"/>
      <c r="DOR23" s="623"/>
      <c r="DOS23" s="623"/>
      <c r="DOT23" s="623"/>
      <c r="DOU23" s="623"/>
      <c r="DOV23" s="623"/>
      <c r="DOW23" s="623"/>
      <c r="DOX23" s="623"/>
      <c r="DOY23" s="623"/>
      <c r="DOZ23" s="623"/>
      <c r="DPA23" s="623"/>
      <c r="DPB23" s="623"/>
      <c r="DPC23" s="623"/>
      <c r="DPD23" s="623"/>
      <c r="DPE23" s="623"/>
      <c r="DPF23" s="623"/>
      <c r="DPG23" s="623"/>
      <c r="DPH23" s="623"/>
      <c r="DPI23" s="623"/>
      <c r="DPJ23" s="623"/>
      <c r="DPK23" s="623"/>
      <c r="DPL23" s="623"/>
      <c r="DPM23" s="623"/>
      <c r="DPN23" s="623"/>
      <c r="DPO23" s="623"/>
      <c r="DPP23" s="623"/>
      <c r="DPQ23" s="623"/>
      <c r="DPR23" s="623"/>
      <c r="DPS23" s="623"/>
      <c r="DPT23" s="623"/>
      <c r="DPU23" s="623"/>
      <c r="DPV23" s="623"/>
      <c r="DPW23" s="623"/>
      <c r="DPX23" s="623"/>
      <c r="DPY23" s="623"/>
      <c r="DPZ23" s="623"/>
      <c r="DQA23" s="623"/>
      <c r="DQB23" s="623"/>
      <c r="DQC23" s="623"/>
      <c r="DQD23" s="623"/>
      <c r="DQE23" s="623"/>
      <c r="DQF23" s="623"/>
      <c r="DQG23" s="623"/>
      <c r="DQH23" s="623"/>
      <c r="DQI23" s="623"/>
      <c r="DQJ23" s="623"/>
      <c r="DQK23" s="623"/>
      <c r="DQL23" s="623"/>
      <c r="DQM23" s="623"/>
      <c r="DQN23" s="623"/>
      <c r="DQO23" s="623"/>
      <c r="DQP23" s="623"/>
      <c r="DQQ23" s="623"/>
      <c r="DQR23" s="623"/>
      <c r="DQS23" s="623"/>
      <c r="DQT23" s="623"/>
      <c r="DQU23" s="623"/>
      <c r="DQV23" s="623"/>
      <c r="DQW23" s="623"/>
      <c r="DQX23" s="623"/>
      <c r="DQY23" s="623"/>
      <c r="DQZ23" s="623"/>
      <c r="DRA23" s="623"/>
      <c r="DRB23" s="623"/>
      <c r="DRC23" s="623"/>
      <c r="DRD23" s="623"/>
      <c r="DRE23" s="623"/>
      <c r="DRF23" s="623"/>
      <c r="DRG23" s="623"/>
      <c r="DRH23" s="623"/>
      <c r="DRI23" s="623"/>
      <c r="DRJ23" s="623"/>
      <c r="DRK23" s="623"/>
      <c r="DRL23" s="623"/>
      <c r="DRM23" s="623"/>
      <c r="DRN23" s="623"/>
      <c r="DRO23" s="623"/>
      <c r="DRP23" s="623"/>
      <c r="DRQ23" s="623"/>
      <c r="DRR23" s="623"/>
      <c r="DRS23" s="623"/>
      <c r="DRT23" s="623"/>
      <c r="DRU23" s="623"/>
      <c r="DRV23" s="623"/>
      <c r="DRW23" s="623"/>
      <c r="DRX23" s="623"/>
      <c r="DRY23" s="623"/>
      <c r="DRZ23" s="623"/>
      <c r="DSA23" s="623"/>
      <c r="DSB23" s="623"/>
      <c r="DSC23" s="623"/>
      <c r="DSD23" s="623"/>
      <c r="DSE23" s="623"/>
      <c r="DSF23" s="623"/>
      <c r="DSG23" s="623"/>
      <c r="DSH23" s="623"/>
      <c r="DSI23" s="623"/>
      <c r="DSJ23" s="623"/>
      <c r="DSK23" s="623"/>
      <c r="DSL23" s="623"/>
      <c r="DSM23" s="623"/>
      <c r="DSN23" s="623"/>
      <c r="DSO23" s="623"/>
      <c r="DSP23" s="623"/>
      <c r="DSQ23" s="623"/>
      <c r="DSR23" s="623"/>
      <c r="DSS23" s="623"/>
      <c r="DST23" s="623"/>
      <c r="DSU23" s="623"/>
      <c r="DSV23" s="623"/>
      <c r="DSW23" s="623"/>
      <c r="DSX23" s="623"/>
      <c r="DSY23" s="623"/>
      <c r="DSZ23" s="623"/>
      <c r="DTA23" s="623"/>
      <c r="DTB23" s="623"/>
      <c r="DTC23" s="623"/>
      <c r="DTD23" s="623"/>
      <c r="DTE23" s="623"/>
      <c r="DTF23" s="623"/>
      <c r="DTG23" s="623"/>
      <c r="DTH23" s="623"/>
      <c r="DTI23" s="623"/>
      <c r="DTJ23" s="623"/>
      <c r="DTK23" s="623"/>
      <c r="DTL23" s="623"/>
      <c r="DTM23" s="623"/>
      <c r="DTN23" s="623"/>
      <c r="DTO23" s="623"/>
      <c r="DTP23" s="623"/>
      <c r="DTQ23" s="623"/>
      <c r="DTR23" s="623"/>
      <c r="DTS23" s="623"/>
      <c r="DTT23" s="623"/>
      <c r="DTU23" s="623"/>
      <c r="DTV23" s="623"/>
      <c r="DTW23" s="623"/>
      <c r="DTX23" s="623"/>
      <c r="DTY23" s="623"/>
      <c r="DTZ23" s="623"/>
      <c r="DUA23" s="623"/>
      <c r="DUB23" s="623"/>
      <c r="DUC23" s="623"/>
      <c r="DUD23" s="623"/>
      <c r="DUE23" s="623"/>
      <c r="DUF23" s="623"/>
      <c r="DUG23" s="623"/>
      <c r="DUH23" s="623"/>
      <c r="DUI23" s="623"/>
      <c r="DUJ23" s="623"/>
      <c r="DUK23" s="623"/>
      <c r="DUL23" s="623"/>
      <c r="DUM23" s="623"/>
      <c r="DUN23" s="623"/>
      <c r="DUO23" s="623"/>
      <c r="DUP23" s="623"/>
      <c r="DUQ23" s="623"/>
      <c r="DUR23" s="623"/>
      <c r="DUS23" s="623"/>
      <c r="DUT23" s="623"/>
      <c r="DUU23" s="623"/>
      <c r="DUV23" s="623"/>
      <c r="DUW23" s="623"/>
      <c r="DUX23" s="623"/>
      <c r="DUY23" s="623"/>
      <c r="DUZ23" s="623"/>
      <c r="DVA23" s="623"/>
      <c r="DVB23" s="623"/>
      <c r="DVC23" s="623"/>
      <c r="DVD23" s="623"/>
      <c r="DVE23" s="623"/>
      <c r="DVF23" s="623"/>
      <c r="DVG23" s="623"/>
      <c r="DVH23" s="623"/>
      <c r="DVI23" s="623"/>
      <c r="DVJ23" s="623"/>
      <c r="DVK23" s="623"/>
      <c r="DVL23" s="623"/>
      <c r="DVM23" s="623"/>
      <c r="DVN23" s="623"/>
      <c r="DVO23" s="623"/>
      <c r="DVP23" s="623"/>
      <c r="DVQ23" s="623"/>
      <c r="DVR23" s="623"/>
      <c r="DVS23" s="623"/>
      <c r="DVT23" s="623"/>
      <c r="DVU23" s="623"/>
      <c r="DVV23" s="623"/>
      <c r="DVW23" s="623"/>
      <c r="DVX23" s="623"/>
      <c r="DVY23" s="623"/>
      <c r="DVZ23" s="623"/>
      <c r="DWA23" s="623"/>
      <c r="DWB23" s="623"/>
      <c r="DWC23" s="623"/>
      <c r="DWD23" s="623"/>
      <c r="DWE23" s="623"/>
      <c r="DWF23" s="623"/>
      <c r="DWG23" s="623"/>
      <c r="DWH23" s="623"/>
      <c r="DWI23" s="623"/>
      <c r="DWJ23" s="623"/>
      <c r="DWK23" s="623"/>
      <c r="DWL23" s="623"/>
      <c r="DWM23" s="623"/>
      <c r="DWN23" s="623"/>
      <c r="DWO23" s="623"/>
      <c r="DWP23" s="623"/>
      <c r="DWQ23" s="623"/>
      <c r="DWR23" s="623"/>
      <c r="DWS23" s="623"/>
      <c r="DWT23" s="623"/>
      <c r="DWU23" s="623"/>
      <c r="DWV23" s="623"/>
      <c r="DWW23" s="623"/>
      <c r="DWX23" s="623"/>
      <c r="DWY23" s="623"/>
      <c r="DWZ23" s="623"/>
      <c r="DXA23" s="623"/>
      <c r="DXB23" s="623"/>
      <c r="DXC23" s="623"/>
      <c r="DXD23" s="623"/>
      <c r="DXE23" s="623"/>
      <c r="DXF23" s="623"/>
      <c r="DXG23" s="623"/>
      <c r="DXH23" s="623"/>
      <c r="DXI23" s="623"/>
      <c r="DXJ23" s="623"/>
      <c r="DXK23" s="623"/>
      <c r="DXL23" s="623"/>
      <c r="DXM23" s="623"/>
      <c r="DXN23" s="623"/>
      <c r="DXO23" s="623"/>
      <c r="DXP23" s="623"/>
      <c r="DXQ23" s="623"/>
      <c r="DXR23" s="623"/>
      <c r="DXS23" s="623"/>
      <c r="DXT23" s="623"/>
      <c r="DXU23" s="623"/>
      <c r="DXV23" s="623"/>
      <c r="DXW23" s="623"/>
      <c r="DXX23" s="623"/>
      <c r="DXY23" s="623"/>
      <c r="DXZ23" s="623"/>
      <c r="DYA23" s="623"/>
      <c r="DYB23" s="623"/>
      <c r="DYC23" s="623"/>
      <c r="DYD23" s="623"/>
      <c r="DYE23" s="623"/>
      <c r="DYF23" s="623"/>
      <c r="DYG23" s="623"/>
      <c r="DYH23" s="623"/>
      <c r="DYI23" s="623"/>
      <c r="DYJ23" s="623"/>
      <c r="DYK23" s="623"/>
      <c r="DYL23" s="623"/>
      <c r="DYM23" s="623"/>
      <c r="DYN23" s="623"/>
      <c r="DYO23" s="623"/>
      <c r="DYP23" s="623"/>
      <c r="DYQ23" s="623"/>
      <c r="DYR23" s="623"/>
      <c r="DYS23" s="623"/>
      <c r="DYT23" s="623"/>
      <c r="DYU23" s="623"/>
      <c r="DYV23" s="623"/>
      <c r="DYW23" s="623"/>
      <c r="DYX23" s="623"/>
      <c r="DYY23" s="623"/>
      <c r="DYZ23" s="623"/>
      <c r="DZA23" s="623"/>
      <c r="DZB23" s="623"/>
      <c r="DZC23" s="623"/>
      <c r="DZD23" s="623"/>
      <c r="DZE23" s="623"/>
      <c r="DZF23" s="623"/>
      <c r="DZG23" s="623"/>
      <c r="DZH23" s="623"/>
      <c r="DZI23" s="623"/>
      <c r="DZJ23" s="623"/>
      <c r="DZK23" s="623"/>
      <c r="DZL23" s="623"/>
      <c r="DZM23" s="623"/>
      <c r="DZN23" s="623"/>
      <c r="DZO23" s="623"/>
      <c r="DZP23" s="623"/>
      <c r="DZQ23" s="623"/>
      <c r="DZR23" s="623"/>
      <c r="DZS23" s="623"/>
      <c r="DZT23" s="623"/>
      <c r="DZU23" s="623"/>
      <c r="DZV23" s="623"/>
      <c r="DZW23" s="623"/>
      <c r="DZX23" s="623"/>
      <c r="DZY23" s="623"/>
      <c r="DZZ23" s="623"/>
      <c r="EAA23" s="623"/>
      <c r="EAB23" s="623"/>
      <c r="EAC23" s="623"/>
      <c r="EAD23" s="623"/>
      <c r="EAE23" s="623"/>
      <c r="EAF23" s="623"/>
      <c r="EAG23" s="623"/>
      <c r="EAH23" s="623"/>
      <c r="EAI23" s="623"/>
      <c r="EAJ23" s="623"/>
      <c r="EAK23" s="623"/>
      <c r="EAL23" s="623"/>
      <c r="EAM23" s="623"/>
      <c r="EAN23" s="623"/>
      <c r="EAO23" s="623"/>
      <c r="EAP23" s="623"/>
      <c r="EAQ23" s="623"/>
      <c r="EAR23" s="623"/>
      <c r="EAS23" s="623"/>
      <c r="EAT23" s="623"/>
      <c r="EAU23" s="623"/>
      <c r="EAV23" s="623"/>
      <c r="EAW23" s="623"/>
      <c r="EAX23" s="623"/>
      <c r="EAY23" s="623"/>
      <c r="EAZ23" s="623"/>
      <c r="EBA23" s="623"/>
      <c r="EBB23" s="623"/>
      <c r="EBC23" s="623"/>
      <c r="EBD23" s="623"/>
      <c r="EBE23" s="623"/>
      <c r="EBF23" s="623"/>
      <c r="EBG23" s="623"/>
      <c r="EBH23" s="623"/>
      <c r="EBI23" s="623"/>
      <c r="EBJ23" s="623"/>
      <c r="EBK23" s="623"/>
      <c r="EBL23" s="623"/>
      <c r="EBM23" s="623"/>
      <c r="EBN23" s="623"/>
      <c r="EBO23" s="623"/>
      <c r="EBP23" s="623"/>
      <c r="EBQ23" s="623"/>
      <c r="EBR23" s="623"/>
      <c r="EBS23" s="623"/>
      <c r="EBT23" s="623"/>
      <c r="EBU23" s="623"/>
      <c r="EBV23" s="623"/>
      <c r="EBW23" s="623"/>
      <c r="EBX23" s="623"/>
      <c r="EBY23" s="623"/>
      <c r="EBZ23" s="623"/>
      <c r="ECA23" s="623"/>
      <c r="ECB23" s="623"/>
      <c r="ECC23" s="623"/>
      <c r="ECD23" s="623"/>
      <c r="ECE23" s="623"/>
      <c r="ECF23" s="623"/>
      <c r="ECG23" s="623"/>
      <c r="ECH23" s="623"/>
      <c r="ECI23" s="623"/>
      <c r="ECJ23" s="623"/>
      <c r="ECK23" s="623"/>
      <c r="ECL23" s="623"/>
      <c r="ECM23" s="623"/>
      <c r="ECN23" s="623"/>
      <c r="ECO23" s="623"/>
      <c r="ECP23" s="623"/>
      <c r="ECQ23" s="623"/>
      <c r="ECR23" s="623"/>
      <c r="ECS23" s="623"/>
      <c r="ECT23" s="623"/>
      <c r="ECU23" s="623"/>
      <c r="ECV23" s="623"/>
      <c r="ECW23" s="623"/>
      <c r="ECX23" s="623"/>
      <c r="ECY23" s="623"/>
      <c r="ECZ23" s="623"/>
      <c r="EDA23" s="623"/>
      <c r="EDB23" s="623"/>
      <c r="EDC23" s="623"/>
      <c r="EDD23" s="623"/>
      <c r="EDE23" s="623"/>
      <c r="EDF23" s="623"/>
      <c r="EDG23" s="623"/>
      <c r="EDH23" s="623"/>
      <c r="EDI23" s="623"/>
      <c r="EDJ23" s="623"/>
      <c r="EDK23" s="623"/>
      <c r="EDL23" s="623"/>
      <c r="EDM23" s="623"/>
      <c r="EDN23" s="623"/>
      <c r="EDO23" s="623"/>
      <c r="EDP23" s="623"/>
      <c r="EDQ23" s="623"/>
      <c r="EDR23" s="623"/>
      <c r="EDS23" s="623"/>
      <c r="EDT23" s="623"/>
      <c r="EDU23" s="623"/>
      <c r="EDV23" s="623"/>
      <c r="EDW23" s="623"/>
      <c r="EDX23" s="623"/>
      <c r="EDY23" s="623"/>
      <c r="EDZ23" s="623"/>
      <c r="EEA23" s="623"/>
      <c r="EEB23" s="623"/>
      <c r="EEC23" s="623"/>
      <c r="EED23" s="623"/>
      <c r="EEE23" s="623"/>
      <c r="EEF23" s="623"/>
      <c r="EEG23" s="623"/>
      <c r="EEH23" s="623"/>
      <c r="EEI23" s="623"/>
      <c r="EEJ23" s="623"/>
      <c r="EEK23" s="623"/>
      <c r="EEL23" s="623"/>
      <c r="EEM23" s="623"/>
      <c r="EEN23" s="623"/>
      <c r="EEO23" s="623"/>
      <c r="EEP23" s="623"/>
      <c r="EEQ23" s="623"/>
      <c r="EER23" s="623"/>
      <c r="EES23" s="623"/>
      <c r="EET23" s="623"/>
      <c r="EEU23" s="623"/>
      <c r="EEV23" s="623"/>
      <c r="EEW23" s="623"/>
      <c r="EEX23" s="623"/>
      <c r="EEY23" s="623"/>
      <c r="EEZ23" s="623"/>
      <c r="EFA23" s="623"/>
      <c r="EFB23" s="623"/>
      <c r="EFC23" s="623"/>
      <c r="EFD23" s="623"/>
      <c r="EFE23" s="623"/>
      <c r="EFF23" s="623"/>
      <c r="EFG23" s="623"/>
      <c r="EFH23" s="623"/>
      <c r="EFI23" s="623"/>
      <c r="EFJ23" s="623"/>
      <c r="EFK23" s="623"/>
      <c r="EFL23" s="623"/>
      <c r="EFM23" s="623"/>
      <c r="EFN23" s="623"/>
      <c r="EFO23" s="623"/>
      <c r="EFP23" s="623"/>
      <c r="EFQ23" s="623"/>
      <c r="EFR23" s="623"/>
      <c r="EFS23" s="623"/>
      <c r="EFT23" s="623"/>
      <c r="EFU23" s="623"/>
      <c r="EFV23" s="623"/>
      <c r="EFW23" s="623"/>
      <c r="EFX23" s="623"/>
      <c r="EFY23" s="623"/>
      <c r="EFZ23" s="623"/>
      <c r="EGA23" s="623"/>
      <c r="EGB23" s="623"/>
      <c r="EGC23" s="623"/>
      <c r="EGD23" s="623"/>
      <c r="EGE23" s="623"/>
      <c r="EGF23" s="623"/>
      <c r="EGG23" s="623"/>
      <c r="EGH23" s="623"/>
      <c r="EGI23" s="623"/>
      <c r="EGJ23" s="623"/>
      <c r="EGK23" s="623"/>
      <c r="EGL23" s="623"/>
      <c r="EGM23" s="623"/>
      <c r="EGN23" s="623"/>
      <c r="EGO23" s="623"/>
      <c r="EGP23" s="623"/>
      <c r="EGQ23" s="623"/>
      <c r="EGR23" s="623"/>
      <c r="EGS23" s="623"/>
      <c r="EGT23" s="623"/>
      <c r="EGU23" s="623"/>
      <c r="EGV23" s="623"/>
      <c r="EGW23" s="623"/>
      <c r="EGX23" s="623"/>
      <c r="EGY23" s="623"/>
      <c r="EGZ23" s="623"/>
      <c r="EHA23" s="623"/>
      <c r="EHB23" s="623"/>
      <c r="EHC23" s="623"/>
      <c r="EHD23" s="623"/>
      <c r="EHE23" s="623"/>
      <c r="EHF23" s="623"/>
      <c r="EHG23" s="623"/>
      <c r="EHH23" s="623"/>
      <c r="EHI23" s="623"/>
      <c r="EHJ23" s="623"/>
      <c r="EHK23" s="623"/>
      <c r="EHL23" s="623"/>
      <c r="EHM23" s="623"/>
      <c r="EHN23" s="623"/>
      <c r="EHO23" s="623"/>
      <c r="EHP23" s="623"/>
      <c r="EHQ23" s="623"/>
      <c r="EHR23" s="623"/>
      <c r="EHS23" s="623"/>
      <c r="EHT23" s="623"/>
      <c r="EHU23" s="623"/>
      <c r="EHV23" s="623"/>
      <c r="EHW23" s="623"/>
      <c r="EHX23" s="623"/>
      <c r="EHY23" s="623"/>
      <c r="EHZ23" s="623"/>
      <c r="EIA23" s="623"/>
      <c r="EIB23" s="623"/>
      <c r="EIC23" s="623"/>
      <c r="EID23" s="623"/>
      <c r="EIE23" s="623"/>
      <c r="EIF23" s="623"/>
      <c r="EIG23" s="623"/>
      <c r="EIH23" s="623"/>
      <c r="EII23" s="623"/>
      <c r="EIJ23" s="623"/>
      <c r="EIK23" s="623"/>
      <c r="EIL23" s="623"/>
      <c r="EIM23" s="623"/>
      <c r="EIN23" s="623"/>
      <c r="EIO23" s="623"/>
      <c r="EIP23" s="623"/>
      <c r="EIQ23" s="623"/>
      <c r="EIR23" s="623"/>
      <c r="EIS23" s="623"/>
      <c r="EIT23" s="623"/>
      <c r="EIU23" s="623"/>
      <c r="EIV23" s="623"/>
      <c r="EIW23" s="623"/>
      <c r="EIX23" s="623"/>
      <c r="EIY23" s="623"/>
      <c r="EIZ23" s="623"/>
      <c r="EJA23" s="623"/>
      <c r="EJB23" s="623"/>
      <c r="EJC23" s="623"/>
      <c r="EJD23" s="623"/>
      <c r="EJE23" s="623"/>
      <c r="EJF23" s="623"/>
      <c r="EJG23" s="623"/>
      <c r="EJH23" s="623"/>
      <c r="EJI23" s="623"/>
      <c r="EJJ23" s="623"/>
      <c r="EJK23" s="623"/>
      <c r="EJL23" s="623"/>
      <c r="EJM23" s="623"/>
      <c r="EJN23" s="623"/>
      <c r="EJO23" s="623"/>
      <c r="EJP23" s="623"/>
      <c r="EJQ23" s="623"/>
      <c r="EJR23" s="623"/>
      <c r="EJS23" s="623"/>
      <c r="EJT23" s="623"/>
      <c r="EJU23" s="623"/>
      <c r="EJV23" s="623"/>
      <c r="EJW23" s="623"/>
      <c r="EJX23" s="623"/>
      <c r="EJY23" s="623"/>
      <c r="EJZ23" s="623"/>
      <c r="EKA23" s="623"/>
      <c r="EKB23" s="623"/>
      <c r="EKC23" s="623"/>
      <c r="EKD23" s="623"/>
      <c r="EKE23" s="623"/>
      <c r="EKF23" s="623"/>
      <c r="EKG23" s="623"/>
      <c r="EKH23" s="623"/>
      <c r="EKI23" s="623"/>
      <c r="EKJ23" s="623"/>
      <c r="EKK23" s="623"/>
      <c r="EKL23" s="623"/>
      <c r="EKM23" s="623"/>
      <c r="EKN23" s="623"/>
      <c r="EKO23" s="623"/>
      <c r="EKP23" s="623"/>
      <c r="EKQ23" s="623"/>
      <c r="EKR23" s="623"/>
      <c r="EKS23" s="623"/>
      <c r="EKT23" s="623"/>
      <c r="EKU23" s="623"/>
      <c r="EKV23" s="623"/>
      <c r="EKW23" s="623"/>
      <c r="EKX23" s="623"/>
      <c r="EKY23" s="623"/>
      <c r="EKZ23" s="623"/>
      <c r="ELA23" s="623"/>
      <c r="ELB23" s="623"/>
      <c r="ELC23" s="623"/>
      <c r="ELD23" s="623"/>
      <c r="ELE23" s="623"/>
      <c r="ELF23" s="623"/>
      <c r="ELG23" s="623"/>
      <c r="ELH23" s="623"/>
      <c r="ELI23" s="623"/>
      <c r="ELJ23" s="623"/>
      <c r="ELK23" s="623"/>
      <c r="ELL23" s="623"/>
      <c r="ELM23" s="623"/>
      <c r="ELN23" s="623"/>
      <c r="ELO23" s="623"/>
      <c r="ELP23" s="623"/>
      <c r="ELQ23" s="623"/>
      <c r="ELR23" s="623"/>
      <c r="ELS23" s="623"/>
      <c r="ELT23" s="623"/>
      <c r="ELU23" s="623"/>
      <c r="ELV23" s="623"/>
      <c r="ELW23" s="623"/>
      <c r="ELX23" s="623"/>
      <c r="ELY23" s="623"/>
      <c r="ELZ23" s="623"/>
      <c r="EMA23" s="623"/>
      <c r="EMB23" s="623"/>
      <c r="EMC23" s="623"/>
      <c r="EMD23" s="623"/>
      <c r="EME23" s="623"/>
      <c r="EMF23" s="623"/>
      <c r="EMG23" s="623"/>
      <c r="EMH23" s="623"/>
      <c r="EMI23" s="623"/>
      <c r="EMJ23" s="623"/>
      <c r="EMK23" s="623"/>
      <c r="EML23" s="623"/>
      <c r="EMM23" s="623"/>
      <c r="EMN23" s="623"/>
      <c r="EMO23" s="623"/>
      <c r="EMP23" s="623"/>
      <c r="EMQ23" s="623"/>
      <c r="EMR23" s="623"/>
      <c r="EMS23" s="623"/>
      <c r="EMT23" s="623"/>
      <c r="EMU23" s="623"/>
      <c r="EMV23" s="623"/>
      <c r="EMW23" s="623"/>
      <c r="EMX23" s="623"/>
      <c r="EMY23" s="623"/>
      <c r="EMZ23" s="623"/>
      <c r="ENA23" s="623"/>
      <c r="ENB23" s="623"/>
      <c r="ENC23" s="623"/>
      <c r="END23" s="623"/>
      <c r="ENE23" s="623"/>
      <c r="ENF23" s="623"/>
      <c r="ENG23" s="623"/>
      <c r="ENH23" s="623"/>
      <c r="ENI23" s="623"/>
      <c r="ENJ23" s="623"/>
      <c r="ENK23" s="623"/>
      <c r="ENL23" s="623"/>
      <c r="ENM23" s="623"/>
      <c r="ENN23" s="623"/>
      <c r="ENO23" s="623"/>
      <c r="ENP23" s="623"/>
      <c r="ENQ23" s="623"/>
      <c r="ENR23" s="623"/>
      <c r="ENS23" s="623"/>
      <c r="ENT23" s="623"/>
      <c r="ENU23" s="623"/>
      <c r="ENV23" s="623"/>
      <c r="ENW23" s="623"/>
      <c r="ENX23" s="623"/>
      <c r="ENY23" s="623"/>
      <c r="ENZ23" s="623"/>
      <c r="EOA23" s="623"/>
      <c r="EOB23" s="623"/>
      <c r="EOC23" s="623"/>
      <c r="EOD23" s="623"/>
      <c r="EOE23" s="623"/>
      <c r="EOF23" s="623"/>
      <c r="EOG23" s="623"/>
      <c r="EOH23" s="623"/>
      <c r="EOI23" s="623"/>
      <c r="EOJ23" s="623"/>
      <c r="EOK23" s="623"/>
      <c r="EOL23" s="623"/>
      <c r="EOM23" s="623"/>
      <c r="EON23" s="623"/>
      <c r="EOO23" s="623"/>
      <c r="EOP23" s="623"/>
      <c r="EOQ23" s="623"/>
      <c r="EOR23" s="623"/>
      <c r="EOS23" s="623"/>
      <c r="EOT23" s="623"/>
      <c r="EOU23" s="623"/>
      <c r="EOV23" s="623"/>
      <c r="EOW23" s="623"/>
      <c r="EOX23" s="623"/>
      <c r="EOY23" s="623"/>
      <c r="EOZ23" s="623"/>
      <c r="EPA23" s="623"/>
      <c r="EPB23" s="623"/>
      <c r="EPC23" s="623"/>
      <c r="EPD23" s="623"/>
      <c r="EPE23" s="623"/>
      <c r="EPF23" s="623"/>
      <c r="EPG23" s="623"/>
      <c r="EPH23" s="623"/>
      <c r="EPI23" s="623"/>
      <c r="EPJ23" s="623"/>
      <c r="EPK23" s="623"/>
      <c r="EPL23" s="623"/>
      <c r="EPM23" s="623"/>
      <c r="EPN23" s="623"/>
      <c r="EPO23" s="623"/>
      <c r="EPP23" s="623"/>
      <c r="EPQ23" s="623"/>
      <c r="EPR23" s="623"/>
      <c r="EPS23" s="623"/>
      <c r="EPT23" s="623"/>
      <c r="EPU23" s="623"/>
      <c r="EPV23" s="623"/>
      <c r="EPW23" s="623"/>
      <c r="EPX23" s="623"/>
      <c r="EPY23" s="623"/>
      <c r="EPZ23" s="623"/>
      <c r="EQA23" s="623"/>
      <c r="EQB23" s="623"/>
      <c r="EQC23" s="623"/>
      <c r="EQD23" s="623"/>
      <c r="EQE23" s="623"/>
      <c r="EQF23" s="623"/>
      <c r="EQG23" s="623"/>
      <c r="EQH23" s="623"/>
      <c r="EQI23" s="623"/>
      <c r="EQJ23" s="623"/>
      <c r="EQK23" s="623"/>
      <c r="EQL23" s="623"/>
      <c r="EQM23" s="623"/>
      <c r="EQN23" s="623"/>
      <c r="EQO23" s="623"/>
      <c r="EQP23" s="623"/>
      <c r="EQQ23" s="623"/>
      <c r="EQR23" s="623"/>
      <c r="EQS23" s="623"/>
      <c r="EQT23" s="623"/>
      <c r="EQU23" s="623"/>
      <c r="EQV23" s="623"/>
      <c r="EQW23" s="623"/>
      <c r="EQX23" s="623"/>
      <c r="EQY23" s="623"/>
      <c r="EQZ23" s="623"/>
      <c r="ERA23" s="623"/>
      <c r="ERB23" s="623"/>
      <c r="ERC23" s="623"/>
      <c r="ERD23" s="623"/>
      <c r="ERE23" s="623"/>
      <c r="ERF23" s="623"/>
      <c r="ERG23" s="623"/>
      <c r="ERH23" s="623"/>
      <c r="ERI23" s="623"/>
      <c r="ERJ23" s="623"/>
      <c r="ERK23" s="623"/>
      <c r="ERL23" s="623"/>
      <c r="ERM23" s="623"/>
      <c r="ERN23" s="623"/>
      <c r="ERO23" s="623"/>
      <c r="ERP23" s="623"/>
      <c r="ERQ23" s="623"/>
      <c r="ERR23" s="623"/>
      <c r="ERS23" s="623"/>
      <c r="ERT23" s="623"/>
      <c r="ERU23" s="623"/>
      <c r="ERV23" s="623"/>
      <c r="ERW23" s="623"/>
      <c r="ERX23" s="623"/>
      <c r="ERY23" s="623"/>
      <c r="ERZ23" s="623"/>
      <c r="ESA23" s="623"/>
      <c r="ESB23" s="623"/>
      <c r="ESC23" s="623"/>
      <c r="ESD23" s="623"/>
      <c r="ESE23" s="623"/>
      <c r="ESF23" s="623"/>
      <c r="ESG23" s="623"/>
      <c r="ESH23" s="623"/>
      <c r="ESI23" s="623"/>
      <c r="ESJ23" s="623"/>
      <c r="ESK23" s="623"/>
      <c r="ESL23" s="623"/>
      <c r="ESM23" s="623"/>
      <c r="ESN23" s="623"/>
      <c r="ESO23" s="623"/>
      <c r="ESP23" s="623"/>
      <c r="ESQ23" s="623"/>
      <c r="ESR23" s="623"/>
      <c r="ESS23" s="623"/>
      <c r="EST23" s="623"/>
      <c r="ESU23" s="623"/>
      <c r="ESV23" s="623"/>
      <c r="ESW23" s="623"/>
      <c r="ESX23" s="623"/>
      <c r="ESY23" s="623"/>
      <c r="ESZ23" s="623"/>
      <c r="ETA23" s="623"/>
      <c r="ETB23" s="623"/>
      <c r="ETC23" s="623"/>
      <c r="ETD23" s="623"/>
      <c r="ETE23" s="623"/>
      <c r="ETF23" s="623"/>
      <c r="ETG23" s="623"/>
      <c r="ETH23" s="623"/>
      <c r="ETI23" s="623"/>
      <c r="ETJ23" s="623"/>
      <c r="ETK23" s="623"/>
      <c r="ETL23" s="623"/>
      <c r="ETM23" s="623"/>
      <c r="ETN23" s="623"/>
      <c r="ETO23" s="623"/>
      <c r="ETP23" s="623"/>
      <c r="ETQ23" s="623"/>
      <c r="ETR23" s="623"/>
      <c r="ETS23" s="623"/>
      <c r="ETT23" s="623"/>
      <c r="ETU23" s="623"/>
      <c r="ETV23" s="623"/>
      <c r="ETW23" s="623"/>
      <c r="ETX23" s="623"/>
      <c r="ETY23" s="623"/>
      <c r="ETZ23" s="623"/>
      <c r="EUA23" s="623"/>
      <c r="EUB23" s="623"/>
      <c r="EUC23" s="623"/>
      <c r="EUD23" s="623"/>
      <c r="EUE23" s="623"/>
      <c r="EUF23" s="623"/>
      <c r="EUG23" s="623"/>
      <c r="EUH23" s="623"/>
      <c r="EUI23" s="623"/>
      <c r="EUJ23" s="623"/>
      <c r="EUK23" s="623"/>
      <c r="EUL23" s="623"/>
      <c r="EUM23" s="623"/>
      <c r="EUN23" s="623"/>
      <c r="EUO23" s="623"/>
      <c r="EUP23" s="623"/>
      <c r="EUQ23" s="623"/>
      <c r="EUR23" s="623"/>
      <c r="EUS23" s="623"/>
      <c r="EUT23" s="623"/>
      <c r="EUU23" s="623"/>
      <c r="EUV23" s="623"/>
      <c r="EUW23" s="623"/>
      <c r="EUX23" s="623"/>
      <c r="EUY23" s="623"/>
      <c r="EUZ23" s="623"/>
      <c r="EVA23" s="623"/>
      <c r="EVB23" s="623"/>
      <c r="EVC23" s="623"/>
      <c r="EVD23" s="623"/>
      <c r="EVE23" s="623"/>
      <c r="EVF23" s="623"/>
      <c r="EVG23" s="623"/>
      <c r="EVH23" s="623"/>
      <c r="EVI23" s="623"/>
      <c r="EVJ23" s="623"/>
      <c r="EVK23" s="623"/>
      <c r="EVL23" s="623"/>
      <c r="EVM23" s="623"/>
      <c r="EVN23" s="623"/>
      <c r="EVO23" s="623"/>
      <c r="EVP23" s="623"/>
      <c r="EVQ23" s="623"/>
      <c r="EVR23" s="623"/>
      <c r="EVS23" s="623"/>
      <c r="EVT23" s="623"/>
      <c r="EVU23" s="623"/>
      <c r="EVV23" s="623"/>
      <c r="EVW23" s="623"/>
      <c r="EVX23" s="623"/>
      <c r="EVY23" s="623"/>
      <c r="EVZ23" s="623"/>
      <c r="EWA23" s="623"/>
      <c r="EWB23" s="623"/>
      <c r="EWC23" s="623"/>
      <c r="EWD23" s="623"/>
      <c r="EWE23" s="623"/>
      <c r="EWF23" s="623"/>
      <c r="EWG23" s="623"/>
      <c r="EWH23" s="623"/>
      <c r="EWI23" s="623"/>
      <c r="EWJ23" s="623"/>
      <c r="EWK23" s="623"/>
      <c r="EWL23" s="623"/>
      <c r="EWM23" s="623"/>
      <c r="EWN23" s="623"/>
      <c r="EWO23" s="623"/>
      <c r="EWP23" s="623"/>
      <c r="EWQ23" s="623"/>
      <c r="EWR23" s="623"/>
      <c r="EWS23" s="623"/>
      <c r="EWT23" s="623"/>
      <c r="EWU23" s="623"/>
      <c r="EWV23" s="623"/>
      <c r="EWW23" s="623"/>
      <c r="EWX23" s="623"/>
      <c r="EWY23" s="623"/>
      <c r="EWZ23" s="623"/>
      <c r="EXA23" s="623"/>
      <c r="EXB23" s="623"/>
      <c r="EXC23" s="623"/>
      <c r="EXD23" s="623"/>
      <c r="EXE23" s="623"/>
      <c r="EXF23" s="623"/>
      <c r="EXG23" s="623"/>
      <c r="EXH23" s="623"/>
      <c r="EXI23" s="623"/>
      <c r="EXJ23" s="623"/>
      <c r="EXK23" s="623"/>
      <c r="EXL23" s="623"/>
      <c r="EXM23" s="623"/>
      <c r="EXN23" s="623"/>
      <c r="EXO23" s="623"/>
      <c r="EXP23" s="623"/>
      <c r="EXQ23" s="623"/>
      <c r="EXR23" s="623"/>
      <c r="EXS23" s="623"/>
      <c r="EXT23" s="623"/>
      <c r="EXU23" s="623"/>
      <c r="EXV23" s="623"/>
      <c r="EXW23" s="623"/>
      <c r="EXX23" s="623"/>
      <c r="EXY23" s="623"/>
      <c r="EXZ23" s="623"/>
      <c r="EYA23" s="623"/>
      <c r="EYB23" s="623"/>
      <c r="EYC23" s="623"/>
      <c r="EYD23" s="623"/>
      <c r="EYE23" s="623"/>
      <c r="EYF23" s="623"/>
      <c r="EYG23" s="623"/>
      <c r="EYH23" s="623"/>
      <c r="EYI23" s="623"/>
      <c r="EYJ23" s="623"/>
      <c r="EYK23" s="623"/>
      <c r="EYL23" s="623"/>
      <c r="EYM23" s="623"/>
      <c r="EYN23" s="623"/>
      <c r="EYO23" s="623"/>
      <c r="EYP23" s="623"/>
      <c r="EYQ23" s="623"/>
      <c r="EYR23" s="623"/>
      <c r="EYS23" s="623"/>
      <c r="EYT23" s="623"/>
      <c r="EYU23" s="623"/>
      <c r="EYV23" s="623"/>
      <c r="EYW23" s="623"/>
      <c r="EYX23" s="623"/>
      <c r="EYY23" s="623"/>
      <c r="EYZ23" s="623"/>
      <c r="EZA23" s="623"/>
      <c r="EZB23" s="623"/>
      <c r="EZC23" s="623"/>
      <c r="EZD23" s="623"/>
      <c r="EZE23" s="623"/>
      <c r="EZF23" s="623"/>
      <c r="EZG23" s="623"/>
      <c r="EZH23" s="623"/>
      <c r="EZI23" s="623"/>
      <c r="EZJ23" s="623"/>
      <c r="EZK23" s="623"/>
      <c r="EZL23" s="623"/>
      <c r="EZM23" s="623"/>
      <c r="EZN23" s="623"/>
      <c r="EZO23" s="623"/>
      <c r="EZP23" s="623"/>
      <c r="EZQ23" s="623"/>
      <c r="EZR23" s="623"/>
      <c r="EZS23" s="623"/>
      <c r="EZT23" s="623"/>
      <c r="EZU23" s="623"/>
      <c r="EZV23" s="623"/>
      <c r="EZW23" s="623"/>
      <c r="EZX23" s="623"/>
      <c r="EZY23" s="623"/>
      <c r="EZZ23" s="623"/>
      <c r="FAA23" s="623"/>
      <c r="FAB23" s="623"/>
      <c r="FAC23" s="623"/>
      <c r="FAD23" s="623"/>
      <c r="FAE23" s="623"/>
      <c r="FAF23" s="623"/>
      <c r="FAG23" s="623"/>
      <c r="FAH23" s="623"/>
      <c r="FAI23" s="623"/>
      <c r="FAJ23" s="623"/>
      <c r="FAK23" s="623"/>
      <c r="FAL23" s="623"/>
      <c r="FAM23" s="623"/>
      <c r="FAN23" s="623"/>
      <c r="FAO23" s="623"/>
      <c r="FAP23" s="623"/>
      <c r="FAQ23" s="623"/>
      <c r="FAR23" s="623"/>
      <c r="FAS23" s="623"/>
      <c r="FAT23" s="623"/>
      <c r="FAU23" s="623"/>
      <c r="FAV23" s="623"/>
      <c r="FAW23" s="623"/>
      <c r="FAX23" s="623"/>
      <c r="FAY23" s="623"/>
      <c r="FAZ23" s="623"/>
      <c r="FBA23" s="623"/>
      <c r="FBB23" s="623"/>
      <c r="FBC23" s="623"/>
      <c r="FBD23" s="623"/>
      <c r="FBE23" s="623"/>
      <c r="FBF23" s="623"/>
      <c r="FBG23" s="623"/>
      <c r="FBH23" s="623"/>
      <c r="FBI23" s="623"/>
      <c r="FBJ23" s="623"/>
      <c r="FBK23" s="623"/>
      <c r="FBL23" s="623"/>
      <c r="FBM23" s="623"/>
      <c r="FBN23" s="623"/>
      <c r="FBO23" s="623"/>
      <c r="FBP23" s="623"/>
      <c r="FBQ23" s="623"/>
      <c r="FBR23" s="623"/>
      <c r="FBS23" s="623"/>
      <c r="FBT23" s="623"/>
      <c r="FBU23" s="623"/>
      <c r="FBV23" s="623"/>
      <c r="FBW23" s="623"/>
      <c r="FBX23" s="623"/>
      <c r="FBY23" s="623"/>
      <c r="FBZ23" s="623"/>
      <c r="FCA23" s="623"/>
      <c r="FCB23" s="623"/>
      <c r="FCC23" s="623"/>
      <c r="FCD23" s="623"/>
      <c r="FCE23" s="623"/>
      <c r="FCF23" s="623"/>
      <c r="FCG23" s="623"/>
      <c r="FCH23" s="623"/>
      <c r="FCI23" s="623"/>
      <c r="FCJ23" s="623"/>
      <c r="FCK23" s="623"/>
      <c r="FCL23" s="623"/>
      <c r="FCM23" s="623"/>
      <c r="FCN23" s="623"/>
      <c r="FCO23" s="623"/>
      <c r="FCP23" s="623"/>
      <c r="FCQ23" s="623"/>
      <c r="FCR23" s="623"/>
      <c r="FCS23" s="623"/>
      <c r="FCT23" s="623"/>
      <c r="FCU23" s="623"/>
      <c r="FCV23" s="623"/>
      <c r="FCW23" s="623"/>
      <c r="FCX23" s="623"/>
      <c r="FCY23" s="623"/>
      <c r="FCZ23" s="623"/>
      <c r="FDA23" s="623"/>
      <c r="FDB23" s="623"/>
      <c r="FDC23" s="623"/>
      <c r="FDD23" s="623"/>
      <c r="FDE23" s="623"/>
      <c r="FDF23" s="623"/>
      <c r="FDG23" s="623"/>
      <c r="FDH23" s="623"/>
      <c r="FDI23" s="623"/>
      <c r="FDJ23" s="623"/>
      <c r="FDK23" s="623"/>
      <c r="FDL23" s="623"/>
      <c r="FDM23" s="623"/>
      <c r="FDN23" s="623"/>
      <c r="FDO23" s="623"/>
      <c r="FDP23" s="623"/>
      <c r="FDQ23" s="623"/>
      <c r="FDR23" s="623"/>
      <c r="FDS23" s="623"/>
      <c r="FDT23" s="623"/>
      <c r="FDU23" s="623"/>
      <c r="FDV23" s="623"/>
      <c r="FDW23" s="623"/>
      <c r="FDX23" s="623"/>
      <c r="FDY23" s="623"/>
      <c r="FDZ23" s="623"/>
      <c r="FEA23" s="623"/>
      <c r="FEB23" s="623"/>
      <c r="FEC23" s="623"/>
      <c r="FED23" s="623"/>
      <c r="FEE23" s="623"/>
      <c r="FEF23" s="623"/>
      <c r="FEG23" s="623"/>
      <c r="FEH23" s="623"/>
      <c r="FEI23" s="623"/>
      <c r="FEJ23" s="623"/>
      <c r="FEK23" s="623"/>
      <c r="FEL23" s="623"/>
      <c r="FEM23" s="623"/>
      <c r="FEN23" s="623"/>
      <c r="FEO23" s="623"/>
      <c r="FEP23" s="623"/>
      <c r="FEQ23" s="623"/>
      <c r="FER23" s="623"/>
      <c r="FES23" s="623"/>
      <c r="FET23" s="623"/>
      <c r="FEU23" s="623"/>
      <c r="FEV23" s="623"/>
      <c r="FEW23" s="623"/>
      <c r="FEX23" s="623"/>
      <c r="FEY23" s="623"/>
      <c r="FEZ23" s="623"/>
      <c r="FFA23" s="623"/>
      <c r="FFB23" s="623"/>
      <c r="FFC23" s="623"/>
      <c r="FFD23" s="623"/>
      <c r="FFE23" s="623"/>
      <c r="FFF23" s="623"/>
      <c r="FFG23" s="623"/>
      <c r="FFH23" s="623"/>
      <c r="FFI23" s="623"/>
      <c r="FFJ23" s="623"/>
      <c r="FFK23" s="623"/>
      <c r="FFL23" s="623"/>
      <c r="FFM23" s="623"/>
      <c r="FFN23" s="623"/>
      <c r="FFO23" s="623"/>
      <c r="FFP23" s="623"/>
      <c r="FFQ23" s="623"/>
      <c r="FFR23" s="623"/>
      <c r="FFS23" s="623"/>
      <c r="FFT23" s="623"/>
      <c r="FFU23" s="623"/>
      <c r="FFV23" s="623"/>
      <c r="FFW23" s="623"/>
      <c r="FFX23" s="623"/>
      <c r="FFY23" s="623"/>
      <c r="FFZ23" s="623"/>
      <c r="FGA23" s="623"/>
      <c r="FGB23" s="623"/>
      <c r="FGC23" s="623"/>
      <c r="FGD23" s="623"/>
      <c r="FGE23" s="623"/>
      <c r="FGF23" s="623"/>
      <c r="FGG23" s="623"/>
      <c r="FGH23" s="623"/>
      <c r="FGI23" s="623"/>
      <c r="FGJ23" s="623"/>
      <c r="FGK23" s="623"/>
      <c r="FGL23" s="623"/>
      <c r="FGM23" s="623"/>
      <c r="FGN23" s="623"/>
      <c r="FGO23" s="623"/>
      <c r="FGP23" s="623"/>
      <c r="FGQ23" s="623"/>
      <c r="FGR23" s="623"/>
      <c r="FGS23" s="623"/>
      <c r="FGT23" s="623"/>
      <c r="FGU23" s="623"/>
      <c r="FGV23" s="623"/>
      <c r="FGW23" s="623"/>
      <c r="FGX23" s="623"/>
      <c r="FGY23" s="623"/>
      <c r="FGZ23" s="623"/>
      <c r="FHA23" s="623"/>
      <c r="FHB23" s="623"/>
      <c r="FHC23" s="623"/>
      <c r="FHD23" s="623"/>
      <c r="FHE23" s="623"/>
      <c r="FHF23" s="623"/>
      <c r="FHG23" s="623"/>
      <c r="FHH23" s="623"/>
      <c r="FHI23" s="623"/>
      <c r="FHJ23" s="623"/>
      <c r="FHK23" s="623"/>
      <c r="FHL23" s="623"/>
      <c r="FHM23" s="623"/>
      <c r="FHN23" s="623"/>
      <c r="FHO23" s="623"/>
      <c r="FHP23" s="623"/>
      <c r="FHQ23" s="623"/>
      <c r="FHR23" s="623"/>
      <c r="FHS23" s="623"/>
      <c r="FHT23" s="623"/>
      <c r="FHU23" s="623"/>
      <c r="FHV23" s="623"/>
      <c r="FHW23" s="623"/>
      <c r="FHX23" s="623"/>
      <c r="FHY23" s="623"/>
      <c r="FHZ23" s="623"/>
      <c r="FIA23" s="623"/>
      <c r="FIB23" s="623"/>
      <c r="FIC23" s="623"/>
      <c r="FID23" s="623"/>
      <c r="FIE23" s="623"/>
      <c r="FIF23" s="623"/>
      <c r="FIG23" s="623"/>
      <c r="FIH23" s="623"/>
      <c r="FII23" s="623"/>
      <c r="FIJ23" s="623"/>
      <c r="FIK23" s="623"/>
      <c r="FIL23" s="623"/>
      <c r="FIM23" s="623"/>
      <c r="FIN23" s="623"/>
      <c r="FIO23" s="623"/>
      <c r="FIP23" s="623"/>
      <c r="FIQ23" s="623"/>
      <c r="FIR23" s="623"/>
      <c r="FIS23" s="623"/>
      <c r="FIT23" s="623"/>
      <c r="FIU23" s="623"/>
      <c r="FIV23" s="623"/>
      <c r="FIW23" s="623"/>
      <c r="FIX23" s="623"/>
      <c r="FIY23" s="623"/>
      <c r="FIZ23" s="623"/>
      <c r="FJA23" s="623"/>
      <c r="FJB23" s="623"/>
      <c r="FJC23" s="623"/>
      <c r="FJD23" s="623"/>
      <c r="FJE23" s="623"/>
      <c r="FJF23" s="623"/>
      <c r="FJG23" s="623"/>
      <c r="FJH23" s="623"/>
      <c r="FJI23" s="623"/>
      <c r="FJJ23" s="623"/>
      <c r="FJK23" s="623"/>
      <c r="FJL23" s="623"/>
      <c r="FJM23" s="623"/>
      <c r="FJN23" s="623"/>
      <c r="FJO23" s="623"/>
      <c r="FJP23" s="623"/>
      <c r="FJQ23" s="623"/>
      <c r="FJR23" s="623"/>
      <c r="FJS23" s="623"/>
      <c r="FJT23" s="623"/>
      <c r="FJU23" s="623"/>
      <c r="FJV23" s="623"/>
      <c r="FJW23" s="623"/>
      <c r="FJX23" s="623"/>
      <c r="FJY23" s="623"/>
      <c r="FJZ23" s="623"/>
      <c r="FKA23" s="623"/>
      <c r="FKB23" s="623"/>
      <c r="FKC23" s="623"/>
      <c r="FKD23" s="623"/>
      <c r="FKE23" s="623"/>
      <c r="FKF23" s="623"/>
      <c r="FKG23" s="623"/>
      <c r="FKH23" s="623"/>
      <c r="FKI23" s="623"/>
      <c r="FKJ23" s="623"/>
      <c r="FKK23" s="623"/>
      <c r="FKL23" s="623"/>
      <c r="FKM23" s="623"/>
      <c r="FKN23" s="623"/>
      <c r="FKO23" s="623"/>
      <c r="FKP23" s="623"/>
      <c r="FKQ23" s="623"/>
      <c r="FKR23" s="623"/>
      <c r="FKS23" s="623"/>
      <c r="FKT23" s="623"/>
      <c r="FKU23" s="623"/>
      <c r="FKV23" s="623"/>
      <c r="FKW23" s="623"/>
      <c r="FKX23" s="623"/>
      <c r="FKY23" s="623"/>
      <c r="FKZ23" s="623"/>
      <c r="FLA23" s="623"/>
      <c r="FLB23" s="623"/>
      <c r="FLC23" s="623"/>
      <c r="FLD23" s="623"/>
      <c r="FLE23" s="623"/>
      <c r="FLF23" s="623"/>
      <c r="FLG23" s="623"/>
      <c r="FLH23" s="623"/>
      <c r="FLI23" s="623"/>
      <c r="FLJ23" s="623"/>
      <c r="FLK23" s="623"/>
      <c r="FLL23" s="623"/>
      <c r="FLM23" s="623"/>
      <c r="FLN23" s="623"/>
      <c r="FLO23" s="623"/>
      <c r="FLP23" s="623"/>
      <c r="FLQ23" s="623"/>
      <c r="FLR23" s="623"/>
      <c r="FLS23" s="623"/>
      <c r="FLT23" s="623"/>
      <c r="FLU23" s="623"/>
      <c r="FLV23" s="623"/>
      <c r="FLW23" s="623"/>
      <c r="FLX23" s="623"/>
      <c r="FLY23" s="623"/>
      <c r="FLZ23" s="623"/>
      <c r="FMA23" s="623"/>
      <c r="FMB23" s="623"/>
      <c r="FMC23" s="623"/>
      <c r="FMD23" s="623"/>
      <c r="FME23" s="623"/>
      <c r="FMF23" s="623"/>
      <c r="FMG23" s="623"/>
      <c r="FMH23" s="623"/>
      <c r="FMI23" s="623"/>
      <c r="FMJ23" s="623"/>
      <c r="FMK23" s="623"/>
      <c r="FML23" s="623"/>
      <c r="FMM23" s="623"/>
      <c r="FMN23" s="623"/>
      <c r="FMO23" s="623"/>
      <c r="FMP23" s="623"/>
      <c r="FMQ23" s="623"/>
      <c r="FMR23" s="623"/>
      <c r="FMS23" s="623"/>
      <c r="FMT23" s="623"/>
      <c r="FMU23" s="623"/>
      <c r="FMV23" s="623"/>
      <c r="FMW23" s="623"/>
      <c r="FMX23" s="623"/>
      <c r="FMY23" s="623"/>
      <c r="FMZ23" s="623"/>
      <c r="FNA23" s="623"/>
      <c r="FNB23" s="623"/>
      <c r="FNC23" s="623"/>
      <c r="FND23" s="623"/>
      <c r="FNE23" s="623"/>
      <c r="FNF23" s="623"/>
      <c r="FNG23" s="623"/>
      <c r="FNH23" s="623"/>
      <c r="FNI23" s="623"/>
      <c r="FNJ23" s="623"/>
      <c r="FNK23" s="623"/>
      <c r="FNL23" s="623"/>
      <c r="FNM23" s="623"/>
      <c r="FNN23" s="623"/>
      <c r="FNO23" s="623"/>
      <c r="FNP23" s="623"/>
      <c r="FNQ23" s="623"/>
      <c r="FNR23" s="623"/>
      <c r="FNS23" s="623"/>
      <c r="FNT23" s="623"/>
      <c r="FNU23" s="623"/>
      <c r="FNV23" s="623"/>
      <c r="FNW23" s="623"/>
      <c r="FNX23" s="623"/>
      <c r="FNY23" s="623"/>
      <c r="FNZ23" s="623"/>
      <c r="FOA23" s="623"/>
      <c r="FOB23" s="623"/>
      <c r="FOC23" s="623"/>
      <c r="FOD23" s="623"/>
      <c r="FOE23" s="623"/>
      <c r="FOF23" s="623"/>
      <c r="FOG23" s="623"/>
      <c r="FOH23" s="623"/>
      <c r="FOI23" s="623"/>
      <c r="FOJ23" s="623"/>
      <c r="FOK23" s="623"/>
      <c r="FOL23" s="623"/>
      <c r="FOM23" s="623"/>
      <c r="FON23" s="623"/>
      <c r="FOO23" s="623"/>
      <c r="FOP23" s="623"/>
      <c r="FOQ23" s="623"/>
      <c r="FOR23" s="623"/>
      <c r="FOS23" s="623"/>
      <c r="FOT23" s="623"/>
      <c r="FOU23" s="623"/>
      <c r="FOV23" s="623"/>
      <c r="FOW23" s="623"/>
      <c r="FOX23" s="623"/>
      <c r="FOY23" s="623"/>
      <c r="FOZ23" s="623"/>
      <c r="FPA23" s="623"/>
      <c r="FPB23" s="623"/>
      <c r="FPC23" s="623"/>
      <c r="FPD23" s="623"/>
      <c r="FPE23" s="623"/>
      <c r="FPF23" s="623"/>
      <c r="FPG23" s="623"/>
      <c r="FPH23" s="623"/>
      <c r="FPI23" s="623"/>
      <c r="FPJ23" s="623"/>
      <c r="FPK23" s="623"/>
      <c r="FPL23" s="623"/>
      <c r="FPM23" s="623"/>
      <c r="FPN23" s="623"/>
      <c r="FPO23" s="623"/>
      <c r="FPP23" s="623"/>
      <c r="FPQ23" s="623"/>
      <c r="FPR23" s="623"/>
      <c r="FPS23" s="623"/>
      <c r="FPT23" s="623"/>
      <c r="FPU23" s="623"/>
      <c r="FPV23" s="623"/>
      <c r="FPW23" s="623"/>
      <c r="FPX23" s="623"/>
      <c r="FPY23" s="623"/>
      <c r="FPZ23" s="623"/>
      <c r="FQA23" s="623"/>
      <c r="FQB23" s="623"/>
      <c r="FQC23" s="623"/>
      <c r="FQD23" s="623"/>
      <c r="FQE23" s="623"/>
      <c r="FQF23" s="623"/>
      <c r="FQG23" s="623"/>
      <c r="FQH23" s="623"/>
      <c r="FQI23" s="623"/>
      <c r="FQJ23" s="623"/>
      <c r="FQK23" s="623"/>
      <c r="FQL23" s="623"/>
      <c r="FQM23" s="623"/>
      <c r="FQN23" s="623"/>
      <c r="FQO23" s="623"/>
      <c r="FQP23" s="623"/>
      <c r="FQQ23" s="623"/>
      <c r="FQR23" s="623"/>
      <c r="FQS23" s="623"/>
      <c r="FQT23" s="623"/>
      <c r="FQU23" s="623"/>
      <c r="FQV23" s="623"/>
      <c r="FQW23" s="623"/>
      <c r="FQX23" s="623"/>
      <c r="FQY23" s="623"/>
      <c r="FQZ23" s="623"/>
      <c r="FRA23" s="623"/>
      <c r="FRB23" s="623"/>
      <c r="FRC23" s="623"/>
      <c r="FRD23" s="623"/>
      <c r="FRE23" s="623"/>
      <c r="FRF23" s="623"/>
      <c r="FRG23" s="623"/>
      <c r="FRH23" s="623"/>
      <c r="FRI23" s="623"/>
      <c r="FRJ23" s="623"/>
      <c r="FRK23" s="623"/>
      <c r="FRL23" s="623"/>
      <c r="FRM23" s="623"/>
      <c r="FRN23" s="623"/>
      <c r="FRO23" s="623"/>
      <c r="FRP23" s="623"/>
      <c r="FRQ23" s="623"/>
      <c r="FRR23" s="623"/>
      <c r="FRS23" s="623"/>
      <c r="FRT23" s="623"/>
      <c r="FRU23" s="623"/>
      <c r="FRV23" s="623"/>
      <c r="FRW23" s="623"/>
      <c r="FRX23" s="623"/>
      <c r="FRY23" s="623"/>
      <c r="FRZ23" s="623"/>
      <c r="FSA23" s="623"/>
      <c r="FSB23" s="623"/>
      <c r="FSC23" s="623"/>
      <c r="FSD23" s="623"/>
      <c r="FSE23" s="623"/>
      <c r="FSF23" s="623"/>
      <c r="FSG23" s="623"/>
      <c r="FSH23" s="623"/>
      <c r="FSI23" s="623"/>
      <c r="FSJ23" s="623"/>
      <c r="FSK23" s="623"/>
      <c r="FSL23" s="623"/>
      <c r="FSM23" s="623"/>
      <c r="FSN23" s="623"/>
      <c r="FSO23" s="623"/>
      <c r="FSP23" s="623"/>
      <c r="FSQ23" s="623"/>
      <c r="FSR23" s="623"/>
      <c r="FSS23" s="623"/>
      <c r="FST23" s="623"/>
      <c r="FSU23" s="623"/>
      <c r="FSV23" s="623"/>
      <c r="FSW23" s="623"/>
      <c r="FSX23" s="623"/>
      <c r="FSY23" s="623"/>
      <c r="FSZ23" s="623"/>
      <c r="FTA23" s="623"/>
      <c r="FTB23" s="623"/>
      <c r="FTC23" s="623"/>
      <c r="FTD23" s="623"/>
      <c r="FTE23" s="623"/>
      <c r="FTF23" s="623"/>
      <c r="FTG23" s="623"/>
      <c r="FTH23" s="623"/>
      <c r="FTI23" s="623"/>
      <c r="FTJ23" s="623"/>
      <c r="FTK23" s="623"/>
      <c r="FTL23" s="623"/>
      <c r="FTM23" s="623"/>
      <c r="FTN23" s="623"/>
      <c r="FTO23" s="623"/>
      <c r="FTP23" s="623"/>
      <c r="FTQ23" s="623"/>
      <c r="FTR23" s="623"/>
      <c r="FTS23" s="623"/>
      <c r="FTT23" s="623"/>
      <c r="FTU23" s="623"/>
      <c r="FTV23" s="623"/>
      <c r="FTW23" s="623"/>
      <c r="FTX23" s="623"/>
      <c r="FTY23" s="623"/>
      <c r="FTZ23" s="623"/>
      <c r="FUA23" s="623"/>
      <c r="FUB23" s="623"/>
      <c r="FUC23" s="623"/>
      <c r="FUD23" s="623"/>
      <c r="FUE23" s="623"/>
      <c r="FUF23" s="623"/>
      <c r="FUG23" s="623"/>
      <c r="FUH23" s="623"/>
      <c r="FUI23" s="623"/>
      <c r="FUJ23" s="623"/>
      <c r="FUK23" s="623"/>
      <c r="FUL23" s="623"/>
      <c r="FUM23" s="623"/>
      <c r="FUN23" s="623"/>
      <c r="FUO23" s="623"/>
      <c r="FUP23" s="623"/>
      <c r="FUQ23" s="623"/>
      <c r="FUR23" s="623"/>
      <c r="FUS23" s="623"/>
      <c r="FUT23" s="623"/>
      <c r="FUU23" s="623"/>
      <c r="FUV23" s="623"/>
      <c r="FUW23" s="623"/>
      <c r="FUX23" s="623"/>
      <c r="FUY23" s="623"/>
      <c r="FUZ23" s="623"/>
      <c r="FVA23" s="623"/>
      <c r="FVB23" s="623"/>
      <c r="FVC23" s="623"/>
      <c r="FVD23" s="623"/>
      <c r="FVE23" s="623"/>
      <c r="FVF23" s="623"/>
      <c r="FVG23" s="623"/>
      <c r="FVH23" s="623"/>
      <c r="FVI23" s="623"/>
      <c r="FVJ23" s="623"/>
      <c r="FVK23" s="623"/>
      <c r="FVL23" s="623"/>
      <c r="FVM23" s="623"/>
      <c r="FVN23" s="623"/>
      <c r="FVO23" s="623"/>
      <c r="FVP23" s="623"/>
      <c r="FVQ23" s="623"/>
      <c r="FVR23" s="623"/>
      <c r="FVS23" s="623"/>
      <c r="FVT23" s="623"/>
      <c r="FVU23" s="623"/>
      <c r="FVV23" s="623"/>
      <c r="FVW23" s="623"/>
      <c r="FVX23" s="623"/>
      <c r="FVY23" s="623"/>
      <c r="FVZ23" s="623"/>
      <c r="FWA23" s="623"/>
      <c r="FWB23" s="623"/>
      <c r="FWC23" s="623"/>
      <c r="FWD23" s="623"/>
      <c r="FWE23" s="623"/>
      <c r="FWF23" s="623"/>
      <c r="FWG23" s="623"/>
      <c r="FWH23" s="623"/>
      <c r="FWI23" s="623"/>
      <c r="FWJ23" s="623"/>
      <c r="FWK23" s="623"/>
      <c r="FWL23" s="623"/>
      <c r="FWM23" s="623"/>
      <c r="FWN23" s="623"/>
      <c r="FWO23" s="623"/>
      <c r="FWP23" s="623"/>
      <c r="FWQ23" s="623"/>
      <c r="FWR23" s="623"/>
      <c r="FWS23" s="623"/>
      <c r="FWT23" s="623"/>
      <c r="FWU23" s="623"/>
      <c r="FWV23" s="623"/>
      <c r="FWW23" s="623"/>
      <c r="FWX23" s="623"/>
      <c r="FWY23" s="623"/>
      <c r="FWZ23" s="623"/>
      <c r="FXA23" s="623"/>
      <c r="FXB23" s="623"/>
      <c r="FXC23" s="623"/>
      <c r="FXD23" s="623"/>
      <c r="FXE23" s="623"/>
      <c r="FXF23" s="623"/>
      <c r="FXG23" s="623"/>
      <c r="FXH23" s="623"/>
      <c r="FXI23" s="623"/>
      <c r="FXJ23" s="623"/>
      <c r="FXK23" s="623"/>
      <c r="FXL23" s="623"/>
      <c r="FXM23" s="623"/>
      <c r="FXN23" s="623"/>
      <c r="FXO23" s="623"/>
      <c r="FXP23" s="623"/>
      <c r="FXQ23" s="623"/>
      <c r="FXR23" s="623"/>
      <c r="FXS23" s="623"/>
      <c r="FXT23" s="623"/>
      <c r="FXU23" s="623"/>
      <c r="FXV23" s="623"/>
      <c r="FXW23" s="623"/>
      <c r="FXX23" s="623"/>
      <c r="FXY23" s="623"/>
      <c r="FXZ23" s="623"/>
      <c r="FYA23" s="623"/>
      <c r="FYB23" s="623"/>
      <c r="FYC23" s="623"/>
      <c r="FYD23" s="623"/>
      <c r="FYE23" s="623"/>
      <c r="FYF23" s="623"/>
      <c r="FYG23" s="623"/>
      <c r="FYH23" s="623"/>
      <c r="FYI23" s="623"/>
      <c r="FYJ23" s="623"/>
      <c r="FYK23" s="623"/>
      <c r="FYL23" s="623"/>
      <c r="FYM23" s="623"/>
      <c r="FYN23" s="623"/>
      <c r="FYO23" s="623"/>
      <c r="FYP23" s="623"/>
      <c r="FYQ23" s="623"/>
      <c r="FYR23" s="623"/>
      <c r="FYS23" s="623"/>
      <c r="FYT23" s="623"/>
      <c r="FYU23" s="623"/>
      <c r="FYV23" s="623"/>
      <c r="FYW23" s="623"/>
      <c r="FYX23" s="623"/>
      <c r="FYY23" s="623"/>
      <c r="FYZ23" s="623"/>
      <c r="FZA23" s="623"/>
      <c r="FZB23" s="623"/>
      <c r="FZC23" s="623"/>
      <c r="FZD23" s="623"/>
      <c r="FZE23" s="623"/>
      <c r="FZF23" s="623"/>
      <c r="FZG23" s="623"/>
      <c r="FZH23" s="623"/>
      <c r="FZI23" s="623"/>
      <c r="FZJ23" s="623"/>
      <c r="FZK23" s="623"/>
      <c r="FZL23" s="623"/>
      <c r="FZM23" s="623"/>
      <c r="FZN23" s="623"/>
      <c r="FZO23" s="623"/>
      <c r="FZP23" s="623"/>
      <c r="FZQ23" s="623"/>
      <c r="FZR23" s="623"/>
      <c r="FZS23" s="623"/>
      <c r="FZT23" s="623"/>
      <c r="FZU23" s="623"/>
      <c r="FZV23" s="623"/>
      <c r="FZW23" s="623"/>
      <c r="FZX23" s="623"/>
      <c r="FZY23" s="623"/>
      <c r="FZZ23" s="623"/>
      <c r="GAA23" s="623"/>
      <c r="GAB23" s="623"/>
      <c r="GAC23" s="623"/>
      <c r="GAD23" s="623"/>
      <c r="GAE23" s="623"/>
      <c r="GAF23" s="623"/>
      <c r="GAG23" s="623"/>
      <c r="GAH23" s="623"/>
      <c r="GAI23" s="623"/>
      <c r="GAJ23" s="623"/>
      <c r="GAK23" s="623"/>
      <c r="GAL23" s="623"/>
      <c r="GAM23" s="623"/>
      <c r="GAN23" s="623"/>
      <c r="GAO23" s="623"/>
      <c r="GAP23" s="623"/>
      <c r="GAQ23" s="623"/>
      <c r="GAR23" s="623"/>
      <c r="GAS23" s="623"/>
      <c r="GAT23" s="623"/>
      <c r="GAU23" s="623"/>
      <c r="GAV23" s="623"/>
      <c r="GAW23" s="623"/>
      <c r="GAX23" s="623"/>
      <c r="GAY23" s="623"/>
      <c r="GAZ23" s="623"/>
      <c r="GBA23" s="623"/>
      <c r="GBB23" s="623"/>
      <c r="GBC23" s="623"/>
      <c r="GBD23" s="623"/>
      <c r="GBE23" s="623"/>
      <c r="GBF23" s="623"/>
      <c r="GBG23" s="623"/>
      <c r="GBH23" s="623"/>
      <c r="GBI23" s="623"/>
      <c r="GBJ23" s="623"/>
      <c r="GBK23" s="623"/>
      <c r="GBL23" s="623"/>
      <c r="GBM23" s="623"/>
      <c r="GBN23" s="623"/>
      <c r="GBO23" s="623"/>
      <c r="GBP23" s="623"/>
      <c r="GBQ23" s="623"/>
      <c r="GBR23" s="623"/>
      <c r="GBS23" s="623"/>
      <c r="GBT23" s="623"/>
      <c r="GBU23" s="623"/>
      <c r="GBV23" s="623"/>
      <c r="GBW23" s="623"/>
      <c r="GBX23" s="623"/>
      <c r="GBY23" s="623"/>
      <c r="GBZ23" s="623"/>
      <c r="GCA23" s="623"/>
      <c r="GCB23" s="623"/>
      <c r="GCC23" s="623"/>
      <c r="GCD23" s="623"/>
      <c r="GCE23" s="623"/>
      <c r="GCF23" s="623"/>
      <c r="GCG23" s="623"/>
      <c r="GCH23" s="623"/>
      <c r="GCI23" s="623"/>
      <c r="GCJ23" s="623"/>
      <c r="GCK23" s="623"/>
      <c r="GCL23" s="623"/>
      <c r="GCM23" s="623"/>
      <c r="GCN23" s="623"/>
      <c r="GCO23" s="623"/>
      <c r="GCP23" s="623"/>
      <c r="GCQ23" s="623"/>
      <c r="GCR23" s="623"/>
      <c r="GCS23" s="623"/>
      <c r="GCT23" s="623"/>
      <c r="GCU23" s="623"/>
      <c r="GCV23" s="623"/>
      <c r="GCW23" s="623"/>
      <c r="GCX23" s="623"/>
      <c r="GCY23" s="623"/>
      <c r="GCZ23" s="623"/>
      <c r="GDA23" s="623"/>
      <c r="GDB23" s="623"/>
      <c r="GDC23" s="623"/>
      <c r="GDD23" s="623"/>
      <c r="GDE23" s="623"/>
      <c r="GDF23" s="623"/>
      <c r="GDG23" s="623"/>
      <c r="GDH23" s="623"/>
      <c r="GDI23" s="623"/>
      <c r="GDJ23" s="623"/>
      <c r="GDK23" s="623"/>
      <c r="GDL23" s="623"/>
      <c r="GDM23" s="623"/>
      <c r="GDN23" s="623"/>
      <c r="GDO23" s="623"/>
      <c r="GDP23" s="623"/>
      <c r="GDQ23" s="623"/>
      <c r="GDR23" s="623"/>
      <c r="GDS23" s="623"/>
      <c r="GDT23" s="623"/>
      <c r="GDU23" s="623"/>
      <c r="GDV23" s="623"/>
      <c r="GDW23" s="623"/>
      <c r="GDX23" s="623"/>
      <c r="GDY23" s="623"/>
      <c r="GDZ23" s="623"/>
      <c r="GEA23" s="623"/>
      <c r="GEB23" s="623"/>
      <c r="GEC23" s="623"/>
      <c r="GED23" s="623"/>
      <c r="GEE23" s="623"/>
      <c r="GEF23" s="623"/>
      <c r="GEG23" s="623"/>
      <c r="GEH23" s="623"/>
      <c r="GEI23" s="623"/>
      <c r="GEJ23" s="623"/>
      <c r="GEK23" s="623"/>
      <c r="GEL23" s="623"/>
      <c r="GEM23" s="623"/>
      <c r="GEN23" s="623"/>
      <c r="GEO23" s="623"/>
      <c r="GEP23" s="623"/>
      <c r="GEQ23" s="623"/>
      <c r="GER23" s="623"/>
      <c r="GES23" s="623"/>
      <c r="GET23" s="623"/>
      <c r="GEU23" s="623"/>
      <c r="GEV23" s="623"/>
      <c r="GEW23" s="623"/>
      <c r="GEX23" s="623"/>
      <c r="GEY23" s="623"/>
      <c r="GEZ23" s="623"/>
      <c r="GFA23" s="623"/>
      <c r="GFB23" s="623"/>
      <c r="GFC23" s="623"/>
      <c r="GFD23" s="623"/>
      <c r="GFE23" s="623"/>
      <c r="GFF23" s="623"/>
      <c r="GFG23" s="623"/>
      <c r="GFH23" s="623"/>
      <c r="GFI23" s="623"/>
      <c r="GFJ23" s="623"/>
      <c r="GFK23" s="623"/>
      <c r="GFL23" s="623"/>
      <c r="GFM23" s="623"/>
      <c r="GFN23" s="623"/>
      <c r="GFO23" s="623"/>
      <c r="GFP23" s="623"/>
      <c r="GFQ23" s="623"/>
      <c r="GFR23" s="623"/>
      <c r="GFS23" s="623"/>
      <c r="GFT23" s="623"/>
      <c r="GFU23" s="623"/>
      <c r="GFV23" s="623"/>
      <c r="GFW23" s="623"/>
      <c r="GFX23" s="623"/>
      <c r="GFY23" s="623"/>
      <c r="GFZ23" s="623"/>
      <c r="GGA23" s="623"/>
      <c r="GGB23" s="623"/>
      <c r="GGC23" s="623"/>
      <c r="GGD23" s="623"/>
      <c r="GGE23" s="623"/>
      <c r="GGF23" s="623"/>
      <c r="GGG23" s="623"/>
      <c r="GGH23" s="623"/>
      <c r="GGI23" s="623"/>
      <c r="GGJ23" s="623"/>
      <c r="GGK23" s="623"/>
      <c r="GGL23" s="623"/>
      <c r="GGM23" s="623"/>
      <c r="GGN23" s="623"/>
      <c r="GGO23" s="623"/>
      <c r="GGP23" s="623"/>
      <c r="GGQ23" s="623"/>
      <c r="GGR23" s="623"/>
      <c r="GGS23" s="623"/>
      <c r="GGT23" s="623"/>
      <c r="GGU23" s="623"/>
      <c r="GGV23" s="623"/>
      <c r="GGW23" s="623"/>
      <c r="GGX23" s="623"/>
      <c r="GGY23" s="623"/>
      <c r="GGZ23" s="623"/>
      <c r="GHA23" s="623"/>
      <c r="GHB23" s="623"/>
      <c r="GHC23" s="623"/>
      <c r="GHD23" s="623"/>
      <c r="GHE23" s="623"/>
      <c r="GHF23" s="623"/>
      <c r="GHG23" s="623"/>
      <c r="GHH23" s="623"/>
      <c r="GHI23" s="623"/>
      <c r="GHJ23" s="623"/>
      <c r="GHK23" s="623"/>
      <c r="GHL23" s="623"/>
      <c r="GHM23" s="623"/>
      <c r="GHN23" s="623"/>
      <c r="GHO23" s="623"/>
      <c r="GHP23" s="623"/>
      <c r="GHQ23" s="623"/>
      <c r="GHR23" s="623"/>
      <c r="GHS23" s="623"/>
      <c r="GHT23" s="623"/>
      <c r="GHU23" s="623"/>
      <c r="GHV23" s="623"/>
      <c r="GHW23" s="623"/>
      <c r="GHX23" s="623"/>
      <c r="GHY23" s="623"/>
      <c r="GHZ23" s="623"/>
      <c r="GIA23" s="623"/>
      <c r="GIB23" s="623"/>
      <c r="GIC23" s="623"/>
      <c r="GID23" s="623"/>
      <c r="GIE23" s="623"/>
      <c r="GIF23" s="623"/>
      <c r="GIG23" s="623"/>
      <c r="GIH23" s="623"/>
      <c r="GII23" s="623"/>
      <c r="GIJ23" s="623"/>
      <c r="GIK23" s="623"/>
      <c r="GIL23" s="623"/>
      <c r="GIM23" s="623"/>
      <c r="GIN23" s="623"/>
      <c r="GIO23" s="623"/>
      <c r="GIP23" s="623"/>
      <c r="GIQ23" s="623"/>
      <c r="GIR23" s="623"/>
      <c r="GIS23" s="623"/>
      <c r="GIT23" s="623"/>
      <c r="GIU23" s="623"/>
      <c r="GIV23" s="623"/>
      <c r="GIW23" s="623"/>
      <c r="GIX23" s="623"/>
      <c r="GIY23" s="623"/>
      <c r="GIZ23" s="623"/>
      <c r="GJA23" s="623"/>
      <c r="GJB23" s="623"/>
      <c r="GJC23" s="623"/>
      <c r="GJD23" s="623"/>
      <c r="GJE23" s="623"/>
      <c r="GJF23" s="623"/>
      <c r="GJG23" s="623"/>
      <c r="GJH23" s="623"/>
      <c r="GJI23" s="623"/>
      <c r="GJJ23" s="623"/>
      <c r="GJK23" s="623"/>
      <c r="GJL23" s="623"/>
      <c r="GJM23" s="623"/>
      <c r="GJN23" s="623"/>
      <c r="GJO23" s="623"/>
      <c r="GJP23" s="623"/>
      <c r="GJQ23" s="623"/>
      <c r="GJR23" s="623"/>
      <c r="GJS23" s="623"/>
      <c r="GJT23" s="623"/>
      <c r="GJU23" s="623"/>
      <c r="GJV23" s="623"/>
      <c r="GJW23" s="623"/>
      <c r="GJX23" s="623"/>
      <c r="GJY23" s="623"/>
      <c r="GJZ23" s="623"/>
      <c r="GKA23" s="623"/>
      <c r="GKB23" s="623"/>
      <c r="GKC23" s="623"/>
      <c r="GKD23" s="623"/>
      <c r="GKE23" s="623"/>
      <c r="GKF23" s="623"/>
      <c r="GKG23" s="623"/>
      <c r="GKH23" s="623"/>
      <c r="GKI23" s="623"/>
      <c r="GKJ23" s="623"/>
      <c r="GKK23" s="623"/>
      <c r="GKL23" s="623"/>
      <c r="GKM23" s="623"/>
      <c r="GKN23" s="623"/>
      <c r="GKO23" s="623"/>
      <c r="GKP23" s="623"/>
      <c r="GKQ23" s="623"/>
      <c r="GKR23" s="623"/>
      <c r="GKS23" s="623"/>
      <c r="GKT23" s="623"/>
      <c r="GKU23" s="623"/>
      <c r="GKV23" s="623"/>
      <c r="GKW23" s="623"/>
      <c r="GKX23" s="623"/>
      <c r="GKY23" s="623"/>
      <c r="GKZ23" s="623"/>
      <c r="GLA23" s="623"/>
      <c r="GLB23" s="623"/>
      <c r="GLC23" s="623"/>
      <c r="GLD23" s="623"/>
      <c r="GLE23" s="623"/>
      <c r="GLF23" s="623"/>
      <c r="GLG23" s="623"/>
      <c r="GLH23" s="623"/>
      <c r="GLI23" s="623"/>
      <c r="GLJ23" s="623"/>
      <c r="GLK23" s="623"/>
      <c r="GLL23" s="623"/>
      <c r="GLM23" s="623"/>
      <c r="GLN23" s="623"/>
      <c r="GLO23" s="623"/>
      <c r="GLP23" s="623"/>
      <c r="GLQ23" s="623"/>
      <c r="GLR23" s="623"/>
      <c r="GLS23" s="623"/>
      <c r="GLT23" s="623"/>
      <c r="GLU23" s="623"/>
      <c r="GLV23" s="623"/>
      <c r="GLW23" s="623"/>
      <c r="GLX23" s="623"/>
      <c r="GLY23" s="623"/>
      <c r="GLZ23" s="623"/>
      <c r="GMA23" s="623"/>
      <c r="GMB23" s="623"/>
      <c r="GMC23" s="623"/>
      <c r="GMD23" s="623"/>
      <c r="GME23" s="623"/>
      <c r="GMF23" s="623"/>
      <c r="GMG23" s="623"/>
      <c r="GMH23" s="623"/>
      <c r="GMI23" s="623"/>
      <c r="GMJ23" s="623"/>
      <c r="GMK23" s="623"/>
      <c r="GML23" s="623"/>
      <c r="GMM23" s="623"/>
      <c r="GMN23" s="623"/>
      <c r="GMO23" s="623"/>
      <c r="GMP23" s="623"/>
      <c r="GMQ23" s="623"/>
      <c r="GMR23" s="623"/>
      <c r="GMS23" s="623"/>
      <c r="GMT23" s="623"/>
      <c r="GMU23" s="623"/>
      <c r="GMV23" s="623"/>
      <c r="GMW23" s="623"/>
      <c r="GMX23" s="623"/>
      <c r="GMY23" s="623"/>
      <c r="GMZ23" s="623"/>
      <c r="GNA23" s="623"/>
      <c r="GNB23" s="623"/>
      <c r="GNC23" s="623"/>
      <c r="GND23" s="623"/>
      <c r="GNE23" s="623"/>
      <c r="GNF23" s="623"/>
      <c r="GNG23" s="623"/>
      <c r="GNH23" s="623"/>
      <c r="GNI23" s="623"/>
      <c r="GNJ23" s="623"/>
      <c r="GNK23" s="623"/>
      <c r="GNL23" s="623"/>
      <c r="GNM23" s="623"/>
      <c r="GNN23" s="623"/>
      <c r="GNO23" s="623"/>
      <c r="GNP23" s="623"/>
      <c r="GNQ23" s="623"/>
      <c r="GNR23" s="623"/>
      <c r="GNS23" s="623"/>
      <c r="GNT23" s="623"/>
      <c r="GNU23" s="623"/>
      <c r="GNV23" s="623"/>
      <c r="GNW23" s="623"/>
      <c r="GNX23" s="623"/>
      <c r="GNY23" s="623"/>
      <c r="GNZ23" s="623"/>
      <c r="GOA23" s="623"/>
      <c r="GOB23" s="623"/>
      <c r="GOC23" s="623"/>
      <c r="GOD23" s="623"/>
      <c r="GOE23" s="623"/>
      <c r="GOF23" s="623"/>
      <c r="GOG23" s="623"/>
      <c r="GOH23" s="623"/>
      <c r="GOI23" s="623"/>
      <c r="GOJ23" s="623"/>
      <c r="GOK23" s="623"/>
      <c r="GOL23" s="623"/>
      <c r="GOM23" s="623"/>
      <c r="GON23" s="623"/>
      <c r="GOO23" s="623"/>
      <c r="GOP23" s="623"/>
      <c r="GOQ23" s="623"/>
      <c r="GOR23" s="623"/>
      <c r="GOS23" s="623"/>
      <c r="GOT23" s="623"/>
      <c r="GOU23" s="623"/>
      <c r="GOV23" s="623"/>
      <c r="GOW23" s="623"/>
      <c r="GOX23" s="623"/>
      <c r="GOY23" s="623"/>
      <c r="GOZ23" s="623"/>
      <c r="GPA23" s="623"/>
      <c r="GPB23" s="623"/>
      <c r="GPC23" s="623"/>
      <c r="GPD23" s="623"/>
      <c r="GPE23" s="623"/>
      <c r="GPF23" s="623"/>
      <c r="GPG23" s="623"/>
      <c r="GPH23" s="623"/>
      <c r="GPI23" s="623"/>
      <c r="GPJ23" s="623"/>
      <c r="GPK23" s="623"/>
      <c r="GPL23" s="623"/>
      <c r="GPM23" s="623"/>
      <c r="GPN23" s="623"/>
      <c r="GPO23" s="623"/>
      <c r="GPP23" s="623"/>
      <c r="GPQ23" s="623"/>
      <c r="GPR23" s="623"/>
      <c r="GPS23" s="623"/>
      <c r="GPT23" s="623"/>
      <c r="GPU23" s="623"/>
      <c r="GPV23" s="623"/>
      <c r="GPW23" s="623"/>
      <c r="GPX23" s="623"/>
      <c r="GPY23" s="623"/>
      <c r="GPZ23" s="623"/>
      <c r="GQA23" s="623"/>
      <c r="GQB23" s="623"/>
      <c r="GQC23" s="623"/>
      <c r="GQD23" s="623"/>
      <c r="GQE23" s="623"/>
      <c r="GQF23" s="623"/>
      <c r="GQG23" s="623"/>
      <c r="GQH23" s="623"/>
      <c r="GQI23" s="623"/>
      <c r="GQJ23" s="623"/>
      <c r="GQK23" s="623"/>
      <c r="GQL23" s="623"/>
      <c r="GQM23" s="623"/>
      <c r="GQN23" s="623"/>
      <c r="GQO23" s="623"/>
      <c r="GQP23" s="623"/>
      <c r="GQQ23" s="623"/>
      <c r="GQR23" s="623"/>
      <c r="GQS23" s="623"/>
      <c r="GQT23" s="623"/>
      <c r="GQU23" s="623"/>
      <c r="GQV23" s="623"/>
      <c r="GQW23" s="623"/>
      <c r="GQX23" s="623"/>
      <c r="GQY23" s="623"/>
      <c r="GQZ23" s="623"/>
      <c r="GRA23" s="623"/>
      <c r="GRB23" s="623"/>
      <c r="GRC23" s="623"/>
      <c r="GRD23" s="623"/>
      <c r="GRE23" s="623"/>
      <c r="GRF23" s="623"/>
      <c r="GRG23" s="623"/>
      <c r="GRH23" s="623"/>
      <c r="GRI23" s="623"/>
      <c r="GRJ23" s="623"/>
      <c r="GRK23" s="623"/>
      <c r="GRL23" s="623"/>
      <c r="GRM23" s="623"/>
      <c r="GRN23" s="623"/>
      <c r="GRO23" s="623"/>
      <c r="GRP23" s="623"/>
      <c r="GRQ23" s="623"/>
      <c r="GRR23" s="623"/>
      <c r="GRS23" s="623"/>
      <c r="GRT23" s="623"/>
      <c r="GRU23" s="623"/>
      <c r="GRV23" s="623"/>
      <c r="GRW23" s="623"/>
      <c r="GRX23" s="623"/>
      <c r="GRY23" s="623"/>
      <c r="GRZ23" s="623"/>
      <c r="GSA23" s="623"/>
      <c r="GSB23" s="623"/>
      <c r="GSC23" s="623"/>
      <c r="GSD23" s="623"/>
      <c r="GSE23" s="623"/>
      <c r="GSF23" s="623"/>
      <c r="GSG23" s="623"/>
      <c r="GSH23" s="623"/>
      <c r="GSI23" s="623"/>
      <c r="GSJ23" s="623"/>
      <c r="GSK23" s="623"/>
      <c r="GSL23" s="623"/>
      <c r="GSM23" s="623"/>
      <c r="GSN23" s="623"/>
      <c r="GSO23" s="623"/>
      <c r="GSP23" s="623"/>
      <c r="GSQ23" s="623"/>
      <c r="GSR23" s="623"/>
      <c r="GSS23" s="623"/>
      <c r="GST23" s="623"/>
      <c r="GSU23" s="623"/>
      <c r="GSV23" s="623"/>
      <c r="GSW23" s="623"/>
      <c r="GSX23" s="623"/>
      <c r="GSY23" s="623"/>
      <c r="GSZ23" s="623"/>
      <c r="GTA23" s="623"/>
      <c r="GTB23" s="623"/>
      <c r="GTC23" s="623"/>
      <c r="GTD23" s="623"/>
      <c r="GTE23" s="623"/>
      <c r="GTF23" s="623"/>
      <c r="GTG23" s="623"/>
      <c r="GTH23" s="623"/>
      <c r="GTI23" s="623"/>
      <c r="GTJ23" s="623"/>
      <c r="GTK23" s="623"/>
      <c r="GTL23" s="623"/>
      <c r="GTM23" s="623"/>
      <c r="GTN23" s="623"/>
      <c r="GTO23" s="623"/>
      <c r="GTP23" s="623"/>
      <c r="GTQ23" s="623"/>
      <c r="GTR23" s="623"/>
      <c r="GTS23" s="623"/>
      <c r="GTT23" s="623"/>
      <c r="GTU23" s="623"/>
      <c r="GTV23" s="623"/>
      <c r="GTW23" s="623"/>
      <c r="GTX23" s="623"/>
      <c r="GTY23" s="623"/>
      <c r="GTZ23" s="623"/>
      <c r="GUA23" s="623"/>
      <c r="GUB23" s="623"/>
      <c r="GUC23" s="623"/>
      <c r="GUD23" s="623"/>
      <c r="GUE23" s="623"/>
      <c r="GUF23" s="623"/>
      <c r="GUG23" s="623"/>
      <c r="GUH23" s="623"/>
      <c r="GUI23" s="623"/>
      <c r="GUJ23" s="623"/>
      <c r="GUK23" s="623"/>
      <c r="GUL23" s="623"/>
      <c r="GUM23" s="623"/>
      <c r="GUN23" s="623"/>
      <c r="GUO23" s="623"/>
      <c r="GUP23" s="623"/>
      <c r="GUQ23" s="623"/>
      <c r="GUR23" s="623"/>
      <c r="GUS23" s="623"/>
      <c r="GUT23" s="623"/>
      <c r="GUU23" s="623"/>
      <c r="GUV23" s="623"/>
      <c r="GUW23" s="623"/>
      <c r="GUX23" s="623"/>
      <c r="GUY23" s="623"/>
      <c r="GUZ23" s="623"/>
      <c r="GVA23" s="623"/>
      <c r="GVB23" s="623"/>
      <c r="GVC23" s="623"/>
      <c r="GVD23" s="623"/>
      <c r="GVE23" s="623"/>
      <c r="GVF23" s="623"/>
      <c r="GVG23" s="623"/>
      <c r="GVH23" s="623"/>
      <c r="GVI23" s="623"/>
      <c r="GVJ23" s="623"/>
      <c r="GVK23" s="623"/>
      <c r="GVL23" s="623"/>
      <c r="GVM23" s="623"/>
      <c r="GVN23" s="623"/>
      <c r="GVO23" s="623"/>
      <c r="GVP23" s="623"/>
      <c r="GVQ23" s="623"/>
      <c r="GVR23" s="623"/>
      <c r="GVS23" s="623"/>
      <c r="GVT23" s="623"/>
      <c r="GVU23" s="623"/>
      <c r="GVV23" s="623"/>
      <c r="GVW23" s="623"/>
      <c r="GVX23" s="623"/>
      <c r="GVY23" s="623"/>
      <c r="GVZ23" s="623"/>
      <c r="GWA23" s="623"/>
      <c r="GWB23" s="623"/>
      <c r="GWC23" s="623"/>
      <c r="GWD23" s="623"/>
      <c r="GWE23" s="623"/>
      <c r="GWF23" s="623"/>
      <c r="GWG23" s="623"/>
      <c r="GWH23" s="623"/>
      <c r="GWI23" s="623"/>
      <c r="GWJ23" s="623"/>
      <c r="GWK23" s="623"/>
      <c r="GWL23" s="623"/>
      <c r="GWM23" s="623"/>
      <c r="GWN23" s="623"/>
      <c r="GWO23" s="623"/>
      <c r="GWP23" s="623"/>
      <c r="GWQ23" s="623"/>
      <c r="GWR23" s="623"/>
      <c r="GWS23" s="623"/>
      <c r="GWT23" s="623"/>
      <c r="GWU23" s="623"/>
      <c r="GWV23" s="623"/>
      <c r="GWW23" s="623"/>
      <c r="GWX23" s="623"/>
      <c r="GWY23" s="623"/>
      <c r="GWZ23" s="623"/>
      <c r="GXA23" s="623"/>
      <c r="GXB23" s="623"/>
      <c r="GXC23" s="623"/>
      <c r="GXD23" s="623"/>
      <c r="GXE23" s="623"/>
      <c r="GXF23" s="623"/>
      <c r="GXG23" s="623"/>
      <c r="GXH23" s="623"/>
      <c r="GXI23" s="623"/>
      <c r="GXJ23" s="623"/>
      <c r="GXK23" s="623"/>
      <c r="GXL23" s="623"/>
      <c r="GXM23" s="623"/>
      <c r="GXN23" s="623"/>
      <c r="GXO23" s="623"/>
      <c r="GXP23" s="623"/>
      <c r="GXQ23" s="623"/>
      <c r="GXR23" s="623"/>
      <c r="GXS23" s="623"/>
      <c r="GXT23" s="623"/>
      <c r="GXU23" s="623"/>
      <c r="GXV23" s="623"/>
      <c r="GXW23" s="623"/>
      <c r="GXX23" s="623"/>
      <c r="GXY23" s="623"/>
      <c r="GXZ23" s="623"/>
      <c r="GYA23" s="623"/>
      <c r="GYB23" s="623"/>
      <c r="GYC23" s="623"/>
      <c r="GYD23" s="623"/>
      <c r="GYE23" s="623"/>
      <c r="GYF23" s="623"/>
      <c r="GYG23" s="623"/>
      <c r="GYH23" s="623"/>
      <c r="GYI23" s="623"/>
      <c r="GYJ23" s="623"/>
      <c r="GYK23" s="623"/>
      <c r="GYL23" s="623"/>
      <c r="GYM23" s="623"/>
      <c r="GYN23" s="623"/>
      <c r="GYO23" s="623"/>
      <c r="GYP23" s="623"/>
      <c r="GYQ23" s="623"/>
      <c r="GYR23" s="623"/>
      <c r="GYS23" s="623"/>
      <c r="GYT23" s="623"/>
      <c r="GYU23" s="623"/>
      <c r="GYV23" s="623"/>
      <c r="GYW23" s="623"/>
      <c r="GYX23" s="623"/>
      <c r="GYY23" s="623"/>
      <c r="GYZ23" s="623"/>
      <c r="GZA23" s="623"/>
      <c r="GZB23" s="623"/>
      <c r="GZC23" s="623"/>
      <c r="GZD23" s="623"/>
      <c r="GZE23" s="623"/>
      <c r="GZF23" s="623"/>
      <c r="GZG23" s="623"/>
      <c r="GZH23" s="623"/>
      <c r="GZI23" s="623"/>
      <c r="GZJ23" s="623"/>
      <c r="GZK23" s="623"/>
      <c r="GZL23" s="623"/>
      <c r="GZM23" s="623"/>
      <c r="GZN23" s="623"/>
      <c r="GZO23" s="623"/>
      <c r="GZP23" s="623"/>
      <c r="GZQ23" s="623"/>
      <c r="GZR23" s="623"/>
      <c r="GZS23" s="623"/>
      <c r="GZT23" s="623"/>
      <c r="GZU23" s="623"/>
      <c r="GZV23" s="623"/>
      <c r="GZW23" s="623"/>
      <c r="GZX23" s="623"/>
      <c r="GZY23" s="623"/>
      <c r="GZZ23" s="623"/>
      <c r="HAA23" s="623"/>
      <c r="HAB23" s="623"/>
      <c r="HAC23" s="623"/>
      <c r="HAD23" s="623"/>
      <c r="HAE23" s="623"/>
      <c r="HAF23" s="623"/>
      <c r="HAG23" s="623"/>
      <c r="HAH23" s="623"/>
      <c r="HAI23" s="623"/>
      <c r="HAJ23" s="623"/>
      <c r="HAK23" s="623"/>
      <c r="HAL23" s="623"/>
      <c r="HAM23" s="623"/>
      <c r="HAN23" s="623"/>
      <c r="HAO23" s="623"/>
      <c r="HAP23" s="623"/>
      <c r="HAQ23" s="623"/>
      <c r="HAR23" s="623"/>
      <c r="HAS23" s="623"/>
      <c r="HAT23" s="623"/>
      <c r="HAU23" s="623"/>
      <c r="HAV23" s="623"/>
      <c r="HAW23" s="623"/>
      <c r="HAX23" s="623"/>
      <c r="HAY23" s="623"/>
      <c r="HAZ23" s="623"/>
      <c r="HBA23" s="623"/>
      <c r="HBB23" s="623"/>
      <c r="HBC23" s="623"/>
      <c r="HBD23" s="623"/>
      <c r="HBE23" s="623"/>
      <c r="HBF23" s="623"/>
      <c r="HBG23" s="623"/>
      <c r="HBH23" s="623"/>
      <c r="HBI23" s="623"/>
      <c r="HBJ23" s="623"/>
      <c r="HBK23" s="623"/>
      <c r="HBL23" s="623"/>
      <c r="HBM23" s="623"/>
      <c r="HBN23" s="623"/>
      <c r="HBO23" s="623"/>
      <c r="HBP23" s="623"/>
      <c r="HBQ23" s="623"/>
      <c r="HBR23" s="623"/>
      <c r="HBS23" s="623"/>
      <c r="HBT23" s="623"/>
      <c r="HBU23" s="623"/>
      <c r="HBV23" s="623"/>
      <c r="HBW23" s="623"/>
      <c r="HBX23" s="623"/>
      <c r="HBY23" s="623"/>
      <c r="HBZ23" s="623"/>
      <c r="HCA23" s="623"/>
      <c r="HCB23" s="623"/>
      <c r="HCC23" s="623"/>
      <c r="HCD23" s="623"/>
      <c r="HCE23" s="623"/>
      <c r="HCF23" s="623"/>
      <c r="HCG23" s="623"/>
      <c r="HCH23" s="623"/>
      <c r="HCI23" s="623"/>
      <c r="HCJ23" s="623"/>
      <c r="HCK23" s="623"/>
      <c r="HCL23" s="623"/>
      <c r="HCM23" s="623"/>
      <c r="HCN23" s="623"/>
      <c r="HCO23" s="623"/>
      <c r="HCP23" s="623"/>
      <c r="HCQ23" s="623"/>
      <c r="HCR23" s="623"/>
      <c r="HCS23" s="623"/>
      <c r="HCT23" s="623"/>
      <c r="HCU23" s="623"/>
      <c r="HCV23" s="623"/>
      <c r="HCW23" s="623"/>
      <c r="HCX23" s="623"/>
      <c r="HCY23" s="623"/>
      <c r="HCZ23" s="623"/>
      <c r="HDA23" s="623"/>
      <c r="HDB23" s="623"/>
      <c r="HDC23" s="623"/>
      <c r="HDD23" s="623"/>
      <c r="HDE23" s="623"/>
      <c r="HDF23" s="623"/>
      <c r="HDG23" s="623"/>
      <c r="HDH23" s="623"/>
      <c r="HDI23" s="623"/>
      <c r="HDJ23" s="623"/>
      <c r="HDK23" s="623"/>
      <c r="HDL23" s="623"/>
      <c r="HDM23" s="623"/>
      <c r="HDN23" s="623"/>
      <c r="HDO23" s="623"/>
      <c r="HDP23" s="623"/>
      <c r="HDQ23" s="623"/>
      <c r="HDR23" s="623"/>
      <c r="HDS23" s="623"/>
      <c r="HDT23" s="623"/>
      <c r="HDU23" s="623"/>
      <c r="HDV23" s="623"/>
      <c r="HDW23" s="623"/>
      <c r="HDX23" s="623"/>
      <c r="HDY23" s="623"/>
      <c r="HDZ23" s="623"/>
      <c r="HEA23" s="623"/>
      <c r="HEB23" s="623"/>
      <c r="HEC23" s="623"/>
      <c r="HED23" s="623"/>
      <c r="HEE23" s="623"/>
      <c r="HEF23" s="623"/>
      <c r="HEG23" s="623"/>
      <c r="HEH23" s="623"/>
      <c r="HEI23" s="623"/>
      <c r="HEJ23" s="623"/>
      <c r="HEK23" s="623"/>
      <c r="HEL23" s="623"/>
      <c r="HEM23" s="623"/>
      <c r="HEN23" s="623"/>
      <c r="HEO23" s="623"/>
      <c r="HEP23" s="623"/>
      <c r="HEQ23" s="623"/>
      <c r="HER23" s="623"/>
      <c r="HES23" s="623"/>
      <c r="HET23" s="623"/>
      <c r="HEU23" s="623"/>
      <c r="HEV23" s="623"/>
      <c r="HEW23" s="623"/>
      <c r="HEX23" s="623"/>
      <c r="HEY23" s="623"/>
      <c r="HEZ23" s="623"/>
      <c r="HFA23" s="623"/>
      <c r="HFB23" s="623"/>
      <c r="HFC23" s="623"/>
      <c r="HFD23" s="623"/>
      <c r="HFE23" s="623"/>
      <c r="HFF23" s="623"/>
      <c r="HFG23" s="623"/>
      <c r="HFH23" s="623"/>
      <c r="HFI23" s="623"/>
      <c r="HFJ23" s="623"/>
      <c r="HFK23" s="623"/>
      <c r="HFL23" s="623"/>
      <c r="HFM23" s="623"/>
      <c r="HFN23" s="623"/>
      <c r="HFO23" s="623"/>
      <c r="HFP23" s="623"/>
      <c r="HFQ23" s="623"/>
      <c r="HFR23" s="623"/>
      <c r="HFS23" s="623"/>
      <c r="HFT23" s="623"/>
      <c r="HFU23" s="623"/>
      <c r="HFV23" s="623"/>
      <c r="HFW23" s="623"/>
      <c r="HFX23" s="623"/>
      <c r="HFY23" s="623"/>
      <c r="HFZ23" s="623"/>
      <c r="HGA23" s="623"/>
      <c r="HGB23" s="623"/>
      <c r="HGC23" s="623"/>
      <c r="HGD23" s="623"/>
      <c r="HGE23" s="623"/>
      <c r="HGF23" s="623"/>
      <c r="HGG23" s="623"/>
      <c r="HGH23" s="623"/>
      <c r="HGI23" s="623"/>
      <c r="HGJ23" s="623"/>
      <c r="HGK23" s="623"/>
      <c r="HGL23" s="623"/>
      <c r="HGM23" s="623"/>
      <c r="HGN23" s="623"/>
      <c r="HGO23" s="623"/>
      <c r="HGP23" s="623"/>
      <c r="HGQ23" s="623"/>
      <c r="HGR23" s="623"/>
      <c r="HGS23" s="623"/>
      <c r="HGT23" s="623"/>
      <c r="HGU23" s="623"/>
      <c r="HGV23" s="623"/>
      <c r="HGW23" s="623"/>
      <c r="HGX23" s="623"/>
      <c r="HGY23" s="623"/>
      <c r="HGZ23" s="623"/>
      <c r="HHA23" s="623"/>
      <c r="HHB23" s="623"/>
      <c r="HHC23" s="623"/>
      <c r="HHD23" s="623"/>
      <c r="HHE23" s="623"/>
      <c r="HHF23" s="623"/>
      <c r="HHG23" s="623"/>
      <c r="HHH23" s="623"/>
      <c r="HHI23" s="623"/>
      <c r="HHJ23" s="623"/>
      <c r="HHK23" s="623"/>
      <c r="HHL23" s="623"/>
      <c r="HHM23" s="623"/>
      <c r="HHN23" s="623"/>
      <c r="HHO23" s="623"/>
      <c r="HHP23" s="623"/>
      <c r="HHQ23" s="623"/>
      <c r="HHR23" s="623"/>
      <c r="HHS23" s="623"/>
      <c r="HHT23" s="623"/>
      <c r="HHU23" s="623"/>
      <c r="HHV23" s="623"/>
      <c r="HHW23" s="623"/>
      <c r="HHX23" s="623"/>
      <c r="HHY23" s="623"/>
      <c r="HHZ23" s="623"/>
      <c r="HIA23" s="623"/>
      <c r="HIB23" s="623"/>
      <c r="HIC23" s="623"/>
      <c r="HID23" s="623"/>
      <c r="HIE23" s="623"/>
      <c r="HIF23" s="623"/>
      <c r="HIG23" s="623"/>
      <c r="HIH23" s="623"/>
      <c r="HII23" s="623"/>
      <c r="HIJ23" s="623"/>
      <c r="HIK23" s="623"/>
      <c r="HIL23" s="623"/>
      <c r="HIM23" s="623"/>
      <c r="HIN23" s="623"/>
      <c r="HIO23" s="623"/>
      <c r="HIP23" s="623"/>
      <c r="HIQ23" s="623"/>
      <c r="HIR23" s="623"/>
      <c r="HIS23" s="623"/>
      <c r="HIT23" s="623"/>
      <c r="HIU23" s="623"/>
      <c r="HIV23" s="623"/>
      <c r="HIW23" s="623"/>
      <c r="HIX23" s="623"/>
      <c r="HIY23" s="623"/>
      <c r="HIZ23" s="623"/>
      <c r="HJA23" s="623"/>
      <c r="HJB23" s="623"/>
      <c r="HJC23" s="623"/>
      <c r="HJD23" s="623"/>
      <c r="HJE23" s="623"/>
      <c r="HJF23" s="623"/>
      <c r="HJG23" s="623"/>
      <c r="HJH23" s="623"/>
      <c r="HJI23" s="623"/>
      <c r="HJJ23" s="623"/>
      <c r="HJK23" s="623"/>
      <c r="HJL23" s="623"/>
      <c r="HJM23" s="623"/>
      <c r="HJN23" s="623"/>
      <c r="HJO23" s="623"/>
      <c r="HJP23" s="623"/>
      <c r="HJQ23" s="623"/>
      <c r="HJR23" s="623"/>
      <c r="HJS23" s="623"/>
      <c r="HJT23" s="623"/>
      <c r="HJU23" s="623"/>
      <c r="HJV23" s="623"/>
      <c r="HJW23" s="623"/>
      <c r="HJX23" s="623"/>
      <c r="HJY23" s="623"/>
      <c r="HJZ23" s="623"/>
      <c r="HKA23" s="623"/>
      <c r="HKB23" s="623"/>
      <c r="HKC23" s="623"/>
      <c r="HKD23" s="623"/>
      <c r="HKE23" s="623"/>
      <c r="HKF23" s="623"/>
      <c r="HKG23" s="623"/>
      <c r="HKH23" s="623"/>
      <c r="HKI23" s="623"/>
      <c r="HKJ23" s="623"/>
      <c r="HKK23" s="623"/>
      <c r="HKL23" s="623"/>
      <c r="HKM23" s="623"/>
      <c r="HKN23" s="623"/>
      <c r="HKO23" s="623"/>
      <c r="HKP23" s="623"/>
      <c r="HKQ23" s="623"/>
      <c r="HKR23" s="623"/>
      <c r="HKS23" s="623"/>
      <c r="HKT23" s="623"/>
      <c r="HKU23" s="623"/>
      <c r="HKV23" s="623"/>
      <c r="HKW23" s="623"/>
      <c r="HKX23" s="623"/>
      <c r="HKY23" s="623"/>
      <c r="HKZ23" s="623"/>
      <c r="HLA23" s="623"/>
      <c r="HLB23" s="623"/>
      <c r="HLC23" s="623"/>
      <c r="HLD23" s="623"/>
      <c r="HLE23" s="623"/>
      <c r="HLF23" s="623"/>
      <c r="HLG23" s="623"/>
      <c r="HLH23" s="623"/>
      <c r="HLI23" s="623"/>
      <c r="HLJ23" s="623"/>
      <c r="HLK23" s="623"/>
      <c r="HLL23" s="623"/>
      <c r="HLM23" s="623"/>
      <c r="HLN23" s="623"/>
      <c r="HLO23" s="623"/>
      <c r="HLP23" s="623"/>
      <c r="HLQ23" s="623"/>
      <c r="HLR23" s="623"/>
      <c r="HLS23" s="623"/>
      <c r="HLT23" s="623"/>
      <c r="HLU23" s="623"/>
      <c r="HLV23" s="623"/>
      <c r="HLW23" s="623"/>
      <c r="HLX23" s="623"/>
      <c r="HLY23" s="623"/>
      <c r="HLZ23" s="623"/>
      <c r="HMA23" s="623"/>
      <c r="HMB23" s="623"/>
      <c r="HMC23" s="623"/>
      <c r="HMD23" s="623"/>
      <c r="HME23" s="623"/>
      <c r="HMF23" s="623"/>
      <c r="HMG23" s="623"/>
      <c r="HMH23" s="623"/>
      <c r="HMI23" s="623"/>
      <c r="HMJ23" s="623"/>
      <c r="HMK23" s="623"/>
      <c r="HML23" s="623"/>
      <c r="HMM23" s="623"/>
      <c r="HMN23" s="623"/>
      <c r="HMO23" s="623"/>
      <c r="HMP23" s="623"/>
      <c r="HMQ23" s="623"/>
      <c r="HMR23" s="623"/>
      <c r="HMS23" s="623"/>
      <c r="HMT23" s="623"/>
      <c r="HMU23" s="623"/>
      <c r="HMV23" s="623"/>
      <c r="HMW23" s="623"/>
      <c r="HMX23" s="623"/>
      <c r="HMY23" s="623"/>
      <c r="HMZ23" s="623"/>
      <c r="HNA23" s="623"/>
      <c r="HNB23" s="623"/>
      <c r="HNC23" s="623"/>
      <c r="HND23" s="623"/>
      <c r="HNE23" s="623"/>
      <c r="HNF23" s="623"/>
      <c r="HNG23" s="623"/>
      <c r="HNH23" s="623"/>
      <c r="HNI23" s="623"/>
      <c r="HNJ23" s="623"/>
      <c r="HNK23" s="623"/>
      <c r="HNL23" s="623"/>
      <c r="HNM23" s="623"/>
      <c r="HNN23" s="623"/>
      <c r="HNO23" s="623"/>
      <c r="HNP23" s="623"/>
      <c r="HNQ23" s="623"/>
      <c r="HNR23" s="623"/>
      <c r="HNS23" s="623"/>
      <c r="HNT23" s="623"/>
      <c r="HNU23" s="623"/>
      <c r="HNV23" s="623"/>
      <c r="HNW23" s="623"/>
      <c r="HNX23" s="623"/>
      <c r="HNY23" s="623"/>
      <c r="HNZ23" s="623"/>
      <c r="HOA23" s="623"/>
      <c r="HOB23" s="623"/>
      <c r="HOC23" s="623"/>
      <c r="HOD23" s="623"/>
      <c r="HOE23" s="623"/>
      <c r="HOF23" s="623"/>
      <c r="HOG23" s="623"/>
      <c r="HOH23" s="623"/>
      <c r="HOI23" s="623"/>
      <c r="HOJ23" s="623"/>
      <c r="HOK23" s="623"/>
      <c r="HOL23" s="623"/>
      <c r="HOM23" s="623"/>
      <c r="HON23" s="623"/>
      <c r="HOO23" s="623"/>
      <c r="HOP23" s="623"/>
      <c r="HOQ23" s="623"/>
      <c r="HOR23" s="623"/>
      <c r="HOS23" s="623"/>
      <c r="HOT23" s="623"/>
      <c r="HOU23" s="623"/>
      <c r="HOV23" s="623"/>
      <c r="HOW23" s="623"/>
      <c r="HOX23" s="623"/>
      <c r="HOY23" s="623"/>
      <c r="HOZ23" s="623"/>
      <c r="HPA23" s="623"/>
      <c r="HPB23" s="623"/>
      <c r="HPC23" s="623"/>
      <c r="HPD23" s="623"/>
      <c r="HPE23" s="623"/>
      <c r="HPF23" s="623"/>
      <c r="HPG23" s="623"/>
      <c r="HPH23" s="623"/>
      <c r="HPI23" s="623"/>
      <c r="HPJ23" s="623"/>
      <c r="HPK23" s="623"/>
      <c r="HPL23" s="623"/>
      <c r="HPM23" s="623"/>
      <c r="HPN23" s="623"/>
      <c r="HPO23" s="623"/>
      <c r="HPP23" s="623"/>
      <c r="HPQ23" s="623"/>
      <c r="HPR23" s="623"/>
      <c r="HPS23" s="623"/>
      <c r="HPT23" s="623"/>
      <c r="HPU23" s="623"/>
      <c r="HPV23" s="623"/>
      <c r="HPW23" s="623"/>
      <c r="HPX23" s="623"/>
      <c r="HPY23" s="623"/>
      <c r="HPZ23" s="623"/>
      <c r="HQA23" s="623"/>
      <c r="HQB23" s="623"/>
      <c r="HQC23" s="623"/>
      <c r="HQD23" s="623"/>
      <c r="HQE23" s="623"/>
      <c r="HQF23" s="623"/>
      <c r="HQG23" s="623"/>
      <c r="HQH23" s="623"/>
      <c r="HQI23" s="623"/>
      <c r="HQJ23" s="623"/>
      <c r="HQK23" s="623"/>
      <c r="HQL23" s="623"/>
      <c r="HQM23" s="623"/>
      <c r="HQN23" s="623"/>
      <c r="HQO23" s="623"/>
      <c r="HQP23" s="623"/>
      <c r="HQQ23" s="623"/>
      <c r="HQR23" s="623"/>
      <c r="HQS23" s="623"/>
      <c r="HQT23" s="623"/>
      <c r="HQU23" s="623"/>
      <c r="HQV23" s="623"/>
      <c r="HQW23" s="623"/>
      <c r="HQX23" s="623"/>
      <c r="HQY23" s="623"/>
      <c r="HQZ23" s="623"/>
      <c r="HRA23" s="623"/>
      <c r="HRB23" s="623"/>
      <c r="HRC23" s="623"/>
      <c r="HRD23" s="623"/>
      <c r="HRE23" s="623"/>
      <c r="HRF23" s="623"/>
      <c r="HRG23" s="623"/>
      <c r="HRH23" s="623"/>
      <c r="HRI23" s="623"/>
      <c r="HRJ23" s="623"/>
      <c r="HRK23" s="623"/>
      <c r="HRL23" s="623"/>
      <c r="HRM23" s="623"/>
      <c r="HRN23" s="623"/>
      <c r="HRO23" s="623"/>
      <c r="HRP23" s="623"/>
      <c r="HRQ23" s="623"/>
      <c r="HRR23" s="623"/>
      <c r="HRS23" s="623"/>
      <c r="HRT23" s="623"/>
      <c r="HRU23" s="623"/>
      <c r="HRV23" s="623"/>
      <c r="HRW23" s="623"/>
      <c r="HRX23" s="623"/>
      <c r="HRY23" s="623"/>
      <c r="HRZ23" s="623"/>
      <c r="HSA23" s="623"/>
      <c r="HSB23" s="623"/>
      <c r="HSC23" s="623"/>
      <c r="HSD23" s="623"/>
      <c r="HSE23" s="623"/>
      <c r="HSF23" s="623"/>
      <c r="HSG23" s="623"/>
      <c r="HSH23" s="623"/>
      <c r="HSI23" s="623"/>
      <c r="HSJ23" s="623"/>
      <c r="HSK23" s="623"/>
      <c r="HSL23" s="623"/>
      <c r="HSM23" s="623"/>
      <c r="HSN23" s="623"/>
      <c r="HSO23" s="623"/>
      <c r="HSP23" s="623"/>
      <c r="HSQ23" s="623"/>
      <c r="HSR23" s="623"/>
      <c r="HSS23" s="623"/>
      <c r="HST23" s="623"/>
      <c r="HSU23" s="623"/>
      <c r="HSV23" s="623"/>
      <c r="HSW23" s="623"/>
      <c r="HSX23" s="623"/>
      <c r="HSY23" s="623"/>
      <c r="HSZ23" s="623"/>
      <c r="HTA23" s="623"/>
      <c r="HTB23" s="623"/>
      <c r="HTC23" s="623"/>
      <c r="HTD23" s="623"/>
      <c r="HTE23" s="623"/>
      <c r="HTF23" s="623"/>
      <c r="HTG23" s="623"/>
      <c r="HTH23" s="623"/>
      <c r="HTI23" s="623"/>
      <c r="HTJ23" s="623"/>
      <c r="HTK23" s="623"/>
      <c r="HTL23" s="623"/>
      <c r="HTM23" s="623"/>
      <c r="HTN23" s="623"/>
      <c r="HTO23" s="623"/>
      <c r="HTP23" s="623"/>
      <c r="HTQ23" s="623"/>
      <c r="HTR23" s="623"/>
      <c r="HTS23" s="623"/>
      <c r="HTT23" s="623"/>
      <c r="HTU23" s="623"/>
      <c r="HTV23" s="623"/>
      <c r="HTW23" s="623"/>
      <c r="HTX23" s="623"/>
      <c r="HTY23" s="623"/>
      <c r="HTZ23" s="623"/>
      <c r="HUA23" s="623"/>
      <c r="HUB23" s="623"/>
      <c r="HUC23" s="623"/>
      <c r="HUD23" s="623"/>
      <c r="HUE23" s="623"/>
      <c r="HUF23" s="623"/>
      <c r="HUG23" s="623"/>
      <c r="HUH23" s="623"/>
      <c r="HUI23" s="623"/>
      <c r="HUJ23" s="623"/>
      <c r="HUK23" s="623"/>
      <c r="HUL23" s="623"/>
      <c r="HUM23" s="623"/>
      <c r="HUN23" s="623"/>
      <c r="HUO23" s="623"/>
      <c r="HUP23" s="623"/>
      <c r="HUQ23" s="623"/>
      <c r="HUR23" s="623"/>
      <c r="HUS23" s="623"/>
      <c r="HUT23" s="623"/>
      <c r="HUU23" s="623"/>
      <c r="HUV23" s="623"/>
      <c r="HUW23" s="623"/>
      <c r="HUX23" s="623"/>
      <c r="HUY23" s="623"/>
      <c r="HUZ23" s="623"/>
      <c r="HVA23" s="623"/>
      <c r="HVB23" s="623"/>
      <c r="HVC23" s="623"/>
      <c r="HVD23" s="623"/>
      <c r="HVE23" s="623"/>
      <c r="HVF23" s="623"/>
      <c r="HVG23" s="623"/>
      <c r="HVH23" s="623"/>
      <c r="HVI23" s="623"/>
      <c r="HVJ23" s="623"/>
      <c r="HVK23" s="623"/>
      <c r="HVL23" s="623"/>
      <c r="HVM23" s="623"/>
      <c r="HVN23" s="623"/>
      <c r="HVO23" s="623"/>
      <c r="HVP23" s="623"/>
      <c r="HVQ23" s="623"/>
      <c r="HVR23" s="623"/>
      <c r="HVS23" s="623"/>
      <c r="HVT23" s="623"/>
      <c r="HVU23" s="623"/>
      <c r="HVV23" s="623"/>
      <c r="HVW23" s="623"/>
      <c r="HVX23" s="623"/>
      <c r="HVY23" s="623"/>
      <c r="HVZ23" s="623"/>
      <c r="HWA23" s="623"/>
      <c r="HWB23" s="623"/>
      <c r="HWC23" s="623"/>
      <c r="HWD23" s="623"/>
      <c r="HWE23" s="623"/>
      <c r="HWF23" s="623"/>
      <c r="HWG23" s="623"/>
      <c r="HWH23" s="623"/>
      <c r="HWI23" s="623"/>
      <c r="HWJ23" s="623"/>
      <c r="HWK23" s="623"/>
      <c r="HWL23" s="623"/>
      <c r="HWM23" s="623"/>
      <c r="HWN23" s="623"/>
      <c r="HWO23" s="623"/>
      <c r="HWP23" s="623"/>
      <c r="HWQ23" s="623"/>
      <c r="HWR23" s="623"/>
      <c r="HWS23" s="623"/>
      <c r="HWT23" s="623"/>
      <c r="HWU23" s="623"/>
      <c r="HWV23" s="623"/>
      <c r="HWW23" s="623"/>
      <c r="HWX23" s="623"/>
      <c r="HWY23" s="623"/>
      <c r="HWZ23" s="623"/>
      <c r="HXA23" s="623"/>
      <c r="HXB23" s="623"/>
      <c r="HXC23" s="623"/>
      <c r="HXD23" s="623"/>
      <c r="HXE23" s="623"/>
      <c r="HXF23" s="623"/>
      <c r="HXG23" s="623"/>
      <c r="HXH23" s="623"/>
      <c r="HXI23" s="623"/>
      <c r="HXJ23" s="623"/>
      <c r="HXK23" s="623"/>
      <c r="HXL23" s="623"/>
      <c r="HXM23" s="623"/>
      <c r="HXN23" s="623"/>
      <c r="HXO23" s="623"/>
      <c r="HXP23" s="623"/>
      <c r="HXQ23" s="623"/>
      <c r="HXR23" s="623"/>
      <c r="HXS23" s="623"/>
      <c r="HXT23" s="623"/>
      <c r="HXU23" s="623"/>
      <c r="HXV23" s="623"/>
      <c r="HXW23" s="623"/>
      <c r="HXX23" s="623"/>
      <c r="HXY23" s="623"/>
      <c r="HXZ23" s="623"/>
      <c r="HYA23" s="623"/>
      <c r="HYB23" s="623"/>
      <c r="HYC23" s="623"/>
      <c r="HYD23" s="623"/>
      <c r="HYE23" s="623"/>
      <c r="HYF23" s="623"/>
      <c r="HYG23" s="623"/>
      <c r="HYH23" s="623"/>
      <c r="HYI23" s="623"/>
      <c r="HYJ23" s="623"/>
      <c r="HYK23" s="623"/>
      <c r="HYL23" s="623"/>
      <c r="HYM23" s="623"/>
      <c r="HYN23" s="623"/>
      <c r="HYO23" s="623"/>
      <c r="HYP23" s="623"/>
      <c r="HYQ23" s="623"/>
      <c r="HYR23" s="623"/>
      <c r="HYS23" s="623"/>
      <c r="HYT23" s="623"/>
      <c r="HYU23" s="623"/>
      <c r="HYV23" s="623"/>
      <c r="HYW23" s="623"/>
      <c r="HYX23" s="623"/>
      <c r="HYY23" s="623"/>
      <c r="HYZ23" s="623"/>
      <c r="HZA23" s="623"/>
      <c r="HZB23" s="623"/>
      <c r="HZC23" s="623"/>
      <c r="HZD23" s="623"/>
      <c r="HZE23" s="623"/>
      <c r="HZF23" s="623"/>
      <c r="HZG23" s="623"/>
      <c r="HZH23" s="623"/>
      <c r="HZI23" s="623"/>
      <c r="HZJ23" s="623"/>
      <c r="HZK23" s="623"/>
      <c r="HZL23" s="623"/>
      <c r="HZM23" s="623"/>
      <c r="HZN23" s="623"/>
      <c r="HZO23" s="623"/>
      <c r="HZP23" s="623"/>
      <c r="HZQ23" s="623"/>
      <c r="HZR23" s="623"/>
      <c r="HZS23" s="623"/>
      <c r="HZT23" s="623"/>
      <c r="HZU23" s="623"/>
      <c r="HZV23" s="623"/>
      <c r="HZW23" s="623"/>
      <c r="HZX23" s="623"/>
      <c r="HZY23" s="623"/>
      <c r="HZZ23" s="623"/>
      <c r="IAA23" s="623"/>
      <c r="IAB23" s="623"/>
      <c r="IAC23" s="623"/>
      <c r="IAD23" s="623"/>
      <c r="IAE23" s="623"/>
      <c r="IAF23" s="623"/>
      <c r="IAG23" s="623"/>
      <c r="IAH23" s="623"/>
      <c r="IAI23" s="623"/>
      <c r="IAJ23" s="623"/>
      <c r="IAK23" s="623"/>
      <c r="IAL23" s="623"/>
      <c r="IAM23" s="623"/>
      <c r="IAN23" s="623"/>
      <c r="IAO23" s="623"/>
      <c r="IAP23" s="623"/>
      <c r="IAQ23" s="623"/>
      <c r="IAR23" s="623"/>
      <c r="IAS23" s="623"/>
      <c r="IAT23" s="623"/>
      <c r="IAU23" s="623"/>
      <c r="IAV23" s="623"/>
      <c r="IAW23" s="623"/>
      <c r="IAX23" s="623"/>
      <c r="IAY23" s="623"/>
      <c r="IAZ23" s="623"/>
      <c r="IBA23" s="623"/>
      <c r="IBB23" s="623"/>
      <c r="IBC23" s="623"/>
      <c r="IBD23" s="623"/>
      <c r="IBE23" s="623"/>
      <c r="IBF23" s="623"/>
      <c r="IBG23" s="623"/>
      <c r="IBH23" s="623"/>
      <c r="IBI23" s="623"/>
      <c r="IBJ23" s="623"/>
      <c r="IBK23" s="623"/>
      <c r="IBL23" s="623"/>
      <c r="IBM23" s="623"/>
      <c r="IBN23" s="623"/>
      <c r="IBO23" s="623"/>
      <c r="IBP23" s="623"/>
      <c r="IBQ23" s="623"/>
      <c r="IBR23" s="623"/>
      <c r="IBS23" s="623"/>
      <c r="IBT23" s="623"/>
      <c r="IBU23" s="623"/>
      <c r="IBV23" s="623"/>
      <c r="IBW23" s="623"/>
      <c r="IBX23" s="623"/>
      <c r="IBY23" s="623"/>
      <c r="IBZ23" s="623"/>
      <c r="ICA23" s="623"/>
      <c r="ICB23" s="623"/>
      <c r="ICC23" s="623"/>
      <c r="ICD23" s="623"/>
      <c r="ICE23" s="623"/>
      <c r="ICF23" s="623"/>
      <c r="ICG23" s="623"/>
      <c r="ICH23" s="623"/>
      <c r="ICI23" s="623"/>
      <c r="ICJ23" s="623"/>
      <c r="ICK23" s="623"/>
      <c r="ICL23" s="623"/>
      <c r="ICM23" s="623"/>
      <c r="ICN23" s="623"/>
      <c r="ICO23" s="623"/>
      <c r="ICP23" s="623"/>
      <c r="ICQ23" s="623"/>
      <c r="ICR23" s="623"/>
      <c r="ICS23" s="623"/>
      <c r="ICT23" s="623"/>
      <c r="ICU23" s="623"/>
      <c r="ICV23" s="623"/>
      <c r="ICW23" s="623"/>
      <c r="ICX23" s="623"/>
      <c r="ICY23" s="623"/>
      <c r="ICZ23" s="623"/>
      <c r="IDA23" s="623"/>
      <c r="IDB23" s="623"/>
      <c r="IDC23" s="623"/>
      <c r="IDD23" s="623"/>
      <c r="IDE23" s="623"/>
      <c r="IDF23" s="623"/>
      <c r="IDG23" s="623"/>
      <c r="IDH23" s="623"/>
      <c r="IDI23" s="623"/>
      <c r="IDJ23" s="623"/>
      <c r="IDK23" s="623"/>
      <c r="IDL23" s="623"/>
      <c r="IDM23" s="623"/>
      <c r="IDN23" s="623"/>
      <c r="IDO23" s="623"/>
      <c r="IDP23" s="623"/>
      <c r="IDQ23" s="623"/>
      <c r="IDR23" s="623"/>
      <c r="IDS23" s="623"/>
      <c r="IDT23" s="623"/>
      <c r="IDU23" s="623"/>
      <c r="IDV23" s="623"/>
      <c r="IDW23" s="623"/>
      <c r="IDX23" s="623"/>
      <c r="IDY23" s="623"/>
      <c r="IDZ23" s="623"/>
      <c r="IEA23" s="623"/>
      <c r="IEB23" s="623"/>
      <c r="IEC23" s="623"/>
      <c r="IED23" s="623"/>
      <c r="IEE23" s="623"/>
      <c r="IEF23" s="623"/>
      <c r="IEG23" s="623"/>
      <c r="IEH23" s="623"/>
      <c r="IEI23" s="623"/>
      <c r="IEJ23" s="623"/>
      <c r="IEK23" s="623"/>
      <c r="IEL23" s="623"/>
      <c r="IEM23" s="623"/>
      <c r="IEN23" s="623"/>
      <c r="IEO23" s="623"/>
      <c r="IEP23" s="623"/>
      <c r="IEQ23" s="623"/>
      <c r="IER23" s="623"/>
      <c r="IES23" s="623"/>
      <c r="IET23" s="623"/>
      <c r="IEU23" s="623"/>
      <c r="IEV23" s="623"/>
      <c r="IEW23" s="623"/>
      <c r="IEX23" s="623"/>
      <c r="IEY23" s="623"/>
      <c r="IEZ23" s="623"/>
      <c r="IFA23" s="623"/>
      <c r="IFB23" s="623"/>
      <c r="IFC23" s="623"/>
      <c r="IFD23" s="623"/>
      <c r="IFE23" s="623"/>
      <c r="IFF23" s="623"/>
      <c r="IFG23" s="623"/>
      <c r="IFH23" s="623"/>
      <c r="IFI23" s="623"/>
      <c r="IFJ23" s="623"/>
      <c r="IFK23" s="623"/>
      <c r="IFL23" s="623"/>
      <c r="IFM23" s="623"/>
      <c r="IFN23" s="623"/>
      <c r="IFO23" s="623"/>
      <c r="IFP23" s="623"/>
      <c r="IFQ23" s="623"/>
      <c r="IFR23" s="623"/>
      <c r="IFS23" s="623"/>
      <c r="IFT23" s="623"/>
      <c r="IFU23" s="623"/>
      <c r="IFV23" s="623"/>
      <c r="IFW23" s="623"/>
      <c r="IFX23" s="623"/>
      <c r="IFY23" s="623"/>
      <c r="IFZ23" s="623"/>
      <c r="IGA23" s="623"/>
      <c r="IGB23" s="623"/>
      <c r="IGC23" s="623"/>
      <c r="IGD23" s="623"/>
      <c r="IGE23" s="623"/>
      <c r="IGF23" s="623"/>
      <c r="IGG23" s="623"/>
      <c r="IGH23" s="623"/>
      <c r="IGI23" s="623"/>
      <c r="IGJ23" s="623"/>
      <c r="IGK23" s="623"/>
      <c r="IGL23" s="623"/>
      <c r="IGM23" s="623"/>
      <c r="IGN23" s="623"/>
      <c r="IGO23" s="623"/>
      <c r="IGP23" s="623"/>
      <c r="IGQ23" s="623"/>
      <c r="IGR23" s="623"/>
      <c r="IGS23" s="623"/>
      <c r="IGT23" s="623"/>
      <c r="IGU23" s="623"/>
      <c r="IGV23" s="623"/>
      <c r="IGW23" s="623"/>
      <c r="IGX23" s="623"/>
      <c r="IGY23" s="623"/>
      <c r="IGZ23" s="623"/>
      <c r="IHA23" s="623"/>
      <c r="IHB23" s="623"/>
      <c r="IHC23" s="623"/>
      <c r="IHD23" s="623"/>
      <c r="IHE23" s="623"/>
      <c r="IHF23" s="623"/>
      <c r="IHG23" s="623"/>
      <c r="IHH23" s="623"/>
      <c r="IHI23" s="623"/>
      <c r="IHJ23" s="623"/>
      <c r="IHK23" s="623"/>
      <c r="IHL23" s="623"/>
      <c r="IHM23" s="623"/>
      <c r="IHN23" s="623"/>
      <c r="IHO23" s="623"/>
      <c r="IHP23" s="623"/>
      <c r="IHQ23" s="623"/>
      <c r="IHR23" s="623"/>
      <c r="IHS23" s="623"/>
      <c r="IHT23" s="623"/>
      <c r="IHU23" s="623"/>
      <c r="IHV23" s="623"/>
      <c r="IHW23" s="623"/>
      <c r="IHX23" s="623"/>
      <c r="IHY23" s="623"/>
      <c r="IHZ23" s="623"/>
      <c r="IIA23" s="623"/>
      <c r="IIB23" s="623"/>
      <c r="IIC23" s="623"/>
      <c r="IID23" s="623"/>
      <c r="IIE23" s="623"/>
      <c r="IIF23" s="623"/>
      <c r="IIG23" s="623"/>
      <c r="IIH23" s="623"/>
      <c r="III23" s="623"/>
      <c r="IIJ23" s="623"/>
      <c r="IIK23" s="623"/>
      <c r="IIL23" s="623"/>
      <c r="IIM23" s="623"/>
      <c r="IIN23" s="623"/>
      <c r="IIO23" s="623"/>
      <c r="IIP23" s="623"/>
      <c r="IIQ23" s="623"/>
      <c r="IIR23" s="623"/>
      <c r="IIS23" s="623"/>
      <c r="IIT23" s="623"/>
      <c r="IIU23" s="623"/>
      <c r="IIV23" s="623"/>
      <c r="IIW23" s="623"/>
      <c r="IIX23" s="623"/>
      <c r="IIY23" s="623"/>
      <c r="IIZ23" s="623"/>
      <c r="IJA23" s="623"/>
      <c r="IJB23" s="623"/>
      <c r="IJC23" s="623"/>
      <c r="IJD23" s="623"/>
      <c r="IJE23" s="623"/>
      <c r="IJF23" s="623"/>
      <c r="IJG23" s="623"/>
      <c r="IJH23" s="623"/>
      <c r="IJI23" s="623"/>
      <c r="IJJ23" s="623"/>
      <c r="IJK23" s="623"/>
      <c r="IJL23" s="623"/>
      <c r="IJM23" s="623"/>
      <c r="IJN23" s="623"/>
      <c r="IJO23" s="623"/>
      <c r="IJP23" s="623"/>
      <c r="IJQ23" s="623"/>
      <c r="IJR23" s="623"/>
      <c r="IJS23" s="623"/>
      <c r="IJT23" s="623"/>
      <c r="IJU23" s="623"/>
      <c r="IJV23" s="623"/>
      <c r="IJW23" s="623"/>
      <c r="IJX23" s="623"/>
      <c r="IJY23" s="623"/>
      <c r="IJZ23" s="623"/>
      <c r="IKA23" s="623"/>
      <c r="IKB23" s="623"/>
      <c r="IKC23" s="623"/>
      <c r="IKD23" s="623"/>
      <c r="IKE23" s="623"/>
      <c r="IKF23" s="623"/>
      <c r="IKG23" s="623"/>
      <c r="IKH23" s="623"/>
      <c r="IKI23" s="623"/>
      <c r="IKJ23" s="623"/>
      <c r="IKK23" s="623"/>
      <c r="IKL23" s="623"/>
      <c r="IKM23" s="623"/>
      <c r="IKN23" s="623"/>
      <c r="IKO23" s="623"/>
      <c r="IKP23" s="623"/>
      <c r="IKQ23" s="623"/>
      <c r="IKR23" s="623"/>
      <c r="IKS23" s="623"/>
      <c r="IKT23" s="623"/>
      <c r="IKU23" s="623"/>
      <c r="IKV23" s="623"/>
      <c r="IKW23" s="623"/>
      <c r="IKX23" s="623"/>
      <c r="IKY23" s="623"/>
      <c r="IKZ23" s="623"/>
      <c r="ILA23" s="623"/>
      <c r="ILB23" s="623"/>
      <c r="ILC23" s="623"/>
      <c r="ILD23" s="623"/>
      <c r="ILE23" s="623"/>
      <c r="ILF23" s="623"/>
      <c r="ILG23" s="623"/>
      <c r="ILH23" s="623"/>
      <c r="ILI23" s="623"/>
      <c r="ILJ23" s="623"/>
      <c r="ILK23" s="623"/>
      <c r="ILL23" s="623"/>
      <c r="ILM23" s="623"/>
      <c r="ILN23" s="623"/>
      <c r="ILO23" s="623"/>
      <c r="ILP23" s="623"/>
      <c r="ILQ23" s="623"/>
      <c r="ILR23" s="623"/>
      <c r="ILS23" s="623"/>
      <c r="ILT23" s="623"/>
      <c r="ILU23" s="623"/>
      <c r="ILV23" s="623"/>
      <c r="ILW23" s="623"/>
      <c r="ILX23" s="623"/>
      <c r="ILY23" s="623"/>
      <c r="ILZ23" s="623"/>
      <c r="IMA23" s="623"/>
      <c r="IMB23" s="623"/>
      <c r="IMC23" s="623"/>
      <c r="IMD23" s="623"/>
      <c r="IME23" s="623"/>
      <c r="IMF23" s="623"/>
      <c r="IMG23" s="623"/>
      <c r="IMH23" s="623"/>
      <c r="IMI23" s="623"/>
      <c r="IMJ23" s="623"/>
      <c r="IMK23" s="623"/>
      <c r="IML23" s="623"/>
      <c r="IMM23" s="623"/>
      <c r="IMN23" s="623"/>
      <c r="IMO23" s="623"/>
      <c r="IMP23" s="623"/>
      <c r="IMQ23" s="623"/>
      <c r="IMR23" s="623"/>
      <c r="IMS23" s="623"/>
      <c r="IMT23" s="623"/>
      <c r="IMU23" s="623"/>
      <c r="IMV23" s="623"/>
      <c r="IMW23" s="623"/>
      <c r="IMX23" s="623"/>
      <c r="IMY23" s="623"/>
      <c r="IMZ23" s="623"/>
      <c r="INA23" s="623"/>
      <c r="INB23" s="623"/>
      <c r="INC23" s="623"/>
      <c r="IND23" s="623"/>
      <c r="INE23" s="623"/>
      <c r="INF23" s="623"/>
      <c r="ING23" s="623"/>
      <c r="INH23" s="623"/>
      <c r="INI23" s="623"/>
      <c r="INJ23" s="623"/>
      <c r="INK23" s="623"/>
      <c r="INL23" s="623"/>
      <c r="INM23" s="623"/>
      <c r="INN23" s="623"/>
      <c r="INO23" s="623"/>
      <c r="INP23" s="623"/>
      <c r="INQ23" s="623"/>
      <c r="INR23" s="623"/>
      <c r="INS23" s="623"/>
      <c r="INT23" s="623"/>
      <c r="INU23" s="623"/>
      <c r="INV23" s="623"/>
      <c r="INW23" s="623"/>
      <c r="INX23" s="623"/>
      <c r="INY23" s="623"/>
      <c r="INZ23" s="623"/>
      <c r="IOA23" s="623"/>
      <c r="IOB23" s="623"/>
      <c r="IOC23" s="623"/>
      <c r="IOD23" s="623"/>
      <c r="IOE23" s="623"/>
      <c r="IOF23" s="623"/>
      <c r="IOG23" s="623"/>
      <c r="IOH23" s="623"/>
      <c r="IOI23" s="623"/>
      <c r="IOJ23" s="623"/>
      <c r="IOK23" s="623"/>
      <c r="IOL23" s="623"/>
      <c r="IOM23" s="623"/>
      <c r="ION23" s="623"/>
      <c r="IOO23" s="623"/>
      <c r="IOP23" s="623"/>
      <c r="IOQ23" s="623"/>
      <c r="IOR23" s="623"/>
      <c r="IOS23" s="623"/>
      <c r="IOT23" s="623"/>
      <c r="IOU23" s="623"/>
      <c r="IOV23" s="623"/>
      <c r="IOW23" s="623"/>
      <c r="IOX23" s="623"/>
      <c r="IOY23" s="623"/>
      <c r="IOZ23" s="623"/>
      <c r="IPA23" s="623"/>
      <c r="IPB23" s="623"/>
      <c r="IPC23" s="623"/>
      <c r="IPD23" s="623"/>
      <c r="IPE23" s="623"/>
      <c r="IPF23" s="623"/>
      <c r="IPG23" s="623"/>
      <c r="IPH23" s="623"/>
      <c r="IPI23" s="623"/>
      <c r="IPJ23" s="623"/>
      <c r="IPK23" s="623"/>
      <c r="IPL23" s="623"/>
      <c r="IPM23" s="623"/>
      <c r="IPN23" s="623"/>
      <c r="IPO23" s="623"/>
      <c r="IPP23" s="623"/>
      <c r="IPQ23" s="623"/>
      <c r="IPR23" s="623"/>
      <c r="IPS23" s="623"/>
      <c r="IPT23" s="623"/>
      <c r="IPU23" s="623"/>
      <c r="IPV23" s="623"/>
      <c r="IPW23" s="623"/>
      <c r="IPX23" s="623"/>
      <c r="IPY23" s="623"/>
      <c r="IPZ23" s="623"/>
      <c r="IQA23" s="623"/>
      <c r="IQB23" s="623"/>
      <c r="IQC23" s="623"/>
      <c r="IQD23" s="623"/>
      <c r="IQE23" s="623"/>
      <c r="IQF23" s="623"/>
      <c r="IQG23" s="623"/>
      <c r="IQH23" s="623"/>
      <c r="IQI23" s="623"/>
      <c r="IQJ23" s="623"/>
      <c r="IQK23" s="623"/>
      <c r="IQL23" s="623"/>
      <c r="IQM23" s="623"/>
      <c r="IQN23" s="623"/>
      <c r="IQO23" s="623"/>
      <c r="IQP23" s="623"/>
      <c r="IQQ23" s="623"/>
      <c r="IQR23" s="623"/>
      <c r="IQS23" s="623"/>
      <c r="IQT23" s="623"/>
      <c r="IQU23" s="623"/>
      <c r="IQV23" s="623"/>
      <c r="IQW23" s="623"/>
      <c r="IQX23" s="623"/>
      <c r="IQY23" s="623"/>
      <c r="IQZ23" s="623"/>
      <c r="IRA23" s="623"/>
      <c r="IRB23" s="623"/>
      <c r="IRC23" s="623"/>
      <c r="IRD23" s="623"/>
      <c r="IRE23" s="623"/>
      <c r="IRF23" s="623"/>
      <c r="IRG23" s="623"/>
      <c r="IRH23" s="623"/>
      <c r="IRI23" s="623"/>
      <c r="IRJ23" s="623"/>
      <c r="IRK23" s="623"/>
      <c r="IRL23" s="623"/>
      <c r="IRM23" s="623"/>
      <c r="IRN23" s="623"/>
      <c r="IRO23" s="623"/>
      <c r="IRP23" s="623"/>
      <c r="IRQ23" s="623"/>
      <c r="IRR23" s="623"/>
      <c r="IRS23" s="623"/>
      <c r="IRT23" s="623"/>
      <c r="IRU23" s="623"/>
      <c r="IRV23" s="623"/>
      <c r="IRW23" s="623"/>
      <c r="IRX23" s="623"/>
      <c r="IRY23" s="623"/>
      <c r="IRZ23" s="623"/>
      <c r="ISA23" s="623"/>
      <c r="ISB23" s="623"/>
      <c r="ISC23" s="623"/>
      <c r="ISD23" s="623"/>
      <c r="ISE23" s="623"/>
      <c r="ISF23" s="623"/>
      <c r="ISG23" s="623"/>
      <c r="ISH23" s="623"/>
      <c r="ISI23" s="623"/>
      <c r="ISJ23" s="623"/>
      <c r="ISK23" s="623"/>
      <c r="ISL23" s="623"/>
      <c r="ISM23" s="623"/>
      <c r="ISN23" s="623"/>
      <c r="ISO23" s="623"/>
      <c r="ISP23" s="623"/>
      <c r="ISQ23" s="623"/>
      <c r="ISR23" s="623"/>
      <c r="ISS23" s="623"/>
      <c r="IST23" s="623"/>
      <c r="ISU23" s="623"/>
      <c r="ISV23" s="623"/>
      <c r="ISW23" s="623"/>
      <c r="ISX23" s="623"/>
      <c r="ISY23" s="623"/>
      <c r="ISZ23" s="623"/>
      <c r="ITA23" s="623"/>
      <c r="ITB23" s="623"/>
      <c r="ITC23" s="623"/>
      <c r="ITD23" s="623"/>
      <c r="ITE23" s="623"/>
      <c r="ITF23" s="623"/>
      <c r="ITG23" s="623"/>
      <c r="ITH23" s="623"/>
      <c r="ITI23" s="623"/>
      <c r="ITJ23" s="623"/>
      <c r="ITK23" s="623"/>
      <c r="ITL23" s="623"/>
      <c r="ITM23" s="623"/>
      <c r="ITN23" s="623"/>
      <c r="ITO23" s="623"/>
      <c r="ITP23" s="623"/>
      <c r="ITQ23" s="623"/>
      <c r="ITR23" s="623"/>
      <c r="ITS23" s="623"/>
      <c r="ITT23" s="623"/>
      <c r="ITU23" s="623"/>
      <c r="ITV23" s="623"/>
      <c r="ITW23" s="623"/>
      <c r="ITX23" s="623"/>
      <c r="ITY23" s="623"/>
      <c r="ITZ23" s="623"/>
      <c r="IUA23" s="623"/>
      <c r="IUB23" s="623"/>
      <c r="IUC23" s="623"/>
      <c r="IUD23" s="623"/>
      <c r="IUE23" s="623"/>
      <c r="IUF23" s="623"/>
      <c r="IUG23" s="623"/>
      <c r="IUH23" s="623"/>
      <c r="IUI23" s="623"/>
      <c r="IUJ23" s="623"/>
      <c r="IUK23" s="623"/>
      <c r="IUL23" s="623"/>
      <c r="IUM23" s="623"/>
      <c r="IUN23" s="623"/>
      <c r="IUO23" s="623"/>
      <c r="IUP23" s="623"/>
      <c r="IUQ23" s="623"/>
      <c r="IUR23" s="623"/>
      <c r="IUS23" s="623"/>
      <c r="IUT23" s="623"/>
      <c r="IUU23" s="623"/>
      <c r="IUV23" s="623"/>
      <c r="IUW23" s="623"/>
      <c r="IUX23" s="623"/>
      <c r="IUY23" s="623"/>
      <c r="IUZ23" s="623"/>
      <c r="IVA23" s="623"/>
      <c r="IVB23" s="623"/>
      <c r="IVC23" s="623"/>
      <c r="IVD23" s="623"/>
      <c r="IVE23" s="623"/>
      <c r="IVF23" s="623"/>
      <c r="IVG23" s="623"/>
      <c r="IVH23" s="623"/>
      <c r="IVI23" s="623"/>
      <c r="IVJ23" s="623"/>
      <c r="IVK23" s="623"/>
      <c r="IVL23" s="623"/>
      <c r="IVM23" s="623"/>
      <c r="IVN23" s="623"/>
      <c r="IVO23" s="623"/>
      <c r="IVP23" s="623"/>
      <c r="IVQ23" s="623"/>
      <c r="IVR23" s="623"/>
      <c r="IVS23" s="623"/>
      <c r="IVT23" s="623"/>
      <c r="IVU23" s="623"/>
      <c r="IVV23" s="623"/>
      <c r="IVW23" s="623"/>
      <c r="IVX23" s="623"/>
      <c r="IVY23" s="623"/>
      <c r="IVZ23" s="623"/>
      <c r="IWA23" s="623"/>
      <c r="IWB23" s="623"/>
      <c r="IWC23" s="623"/>
      <c r="IWD23" s="623"/>
      <c r="IWE23" s="623"/>
      <c r="IWF23" s="623"/>
      <c r="IWG23" s="623"/>
      <c r="IWH23" s="623"/>
      <c r="IWI23" s="623"/>
      <c r="IWJ23" s="623"/>
      <c r="IWK23" s="623"/>
      <c r="IWL23" s="623"/>
      <c r="IWM23" s="623"/>
      <c r="IWN23" s="623"/>
      <c r="IWO23" s="623"/>
      <c r="IWP23" s="623"/>
      <c r="IWQ23" s="623"/>
      <c r="IWR23" s="623"/>
      <c r="IWS23" s="623"/>
      <c r="IWT23" s="623"/>
      <c r="IWU23" s="623"/>
      <c r="IWV23" s="623"/>
      <c r="IWW23" s="623"/>
      <c r="IWX23" s="623"/>
      <c r="IWY23" s="623"/>
      <c r="IWZ23" s="623"/>
      <c r="IXA23" s="623"/>
      <c r="IXB23" s="623"/>
      <c r="IXC23" s="623"/>
      <c r="IXD23" s="623"/>
      <c r="IXE23" s="623"/>
      <c r="IXF23" s="623"/>
      <c r="IXG23" s="623"/>
      <c r="IXH23" s="623"/>
      <c r="IXI23" s="623"/>
      <c r="IXJ23" s="623"/>
      <c r="IXK23" s="623"/>
      <c r="IXL23" s="623"/>
      <c r="IXM23" s="623"/>
      <c r="IXN23" s="623"/>
      <c r="IXO23" s="623"/>
      <c r="IXP23" s="623"/>
      <c r="IXQ23" s="623"/>
      <c r="IXR23" s="623"/>
      <c r="IXS23" s="623"/>
      <c r="IXT23" s="623"/>
      <c r="IXU23" s="623"/>
      <c r="IXV23" s="623"/>
      <c r="IXW23" s="623"/>
      <c r="IXX23" s="623"/>
      <c r="IXY23" s="623"/>
      <c r="IXZ23" s="623"/>
      <c r="IYA23" s="623"/>
      <c r="IYB23" s="623"/>
      <c r="IYC23" s="623"/>
      <c r="IYD23" s="623"/>
      <c r="IYE23" s="623"/>
      <c r="IYF23" s="623"/>
      <c r="IYG23" s="623"/>
      <c r="IYH23" s="623"/>
      <c r="IYI23" s="623"/>
      <c r="IYJ23" s="623"/>
      <c r="IYK23" s="623"/>
      <c r="IYL23" s="623"/>
      <c r="IYM23" s="623"/>
      <c r="IYN23" s="623"/>
      <c r="IYO23" s="623"/>
      <c r="IYP23" s="623"/>
      <c r="IYQ23" s="623"/>
      <c r="IYR23" s="623"/>
      <c r="IYS23" s="623"/>
      <c r="IYT23" s="623"/>
      <c r="IYU23" s="623"/>
      <c r="IYV23" s="623"/>
      <c r="IYW23" s="623"/>
      <c r="IYX23" s="623"/>
      <c r="IYY23" s="623"/>
      <c r="IYZ23" s="623"/>
      <c r="IZA23" s="623"/>
      <c r="IZB23" s="623"/>
      <c r="IZC23" s="623"/>
      <c r="IZD23" s="623"/>
      <c r="IZE23" s="623"/>
      <c r="IZF23" s="623"/>
      <c r="IZG23" s="623"/>
      <c r="IZH23" s="623"/>
      <c r="IZI23" s="623"/>
      <c r="IZJ23" s="623"/>
      <c r="IZK23" s="623"/>
      <c r="IZL23" s="623"/>
      <c r="IZM23" s="623"/>
      <c r="IZN23" s="623"/>
      <c r="IZO23" s="623"/>
      <c r="IZP23" s="623"/>
      <c r="IZQ23" s="623"/>
      <c r="IZR23" s="623"/>
      <c r="IZS23" s="623"/>
      <c r="IZT23" s="623"/>
      <c r="IZU23" s="623"/>
      <c r="IZV23" s="623"/>
      <c r="IZW23" s="623"/>
      <c r="IZX23" s="623"/>
      <c r="IZY23" s="623"/>
      <c r="IZZ23" s="623"/>
      <c r="JAA23" s="623"/>
      <c r="JAB23" s="623"/>
      <c r="JAC23" s="623"/>
      <c r="JAD23" s="623"/>
      <c r="JAE23" s="623"/>
      <c r="JAF23" s="623"/>
      <c r="JAG23" s="623"/>
      <c r="JAH23" s="623"/>
      <c r="JAI23" s="623"/>
      <c r="JAJ23" s="623"/>
      <c r="JAK23" s="623"/>
      <c r="JAL23" s="623"/>
      <c r="JAM23" s="623"/>
      <c r="JAN23" s="623"/>
      <c r="JAO23" s="623"/>
      <c r="JAP23" s="623"/>
      <c r="JAQ23" s="623"/>
      <c r="JAR23" s="623"/>
      <c r="JAS23" s="623"/>
      <c r="JAT23" s="623"/>
      <c r="JAU23" s="623"/>
      <c r="JAV23" s="623"/>
      <c r="JAW23" s="623"/>
      <c r="JAX23" s="623"/>
      <c r="JAY23" s="623"/>
      <c r="JAZ23" s="623"/>
      <c r="JBA23" s="623"/>
      <c r="JBB23" s="623"/>
      <c r="JBC23" s="623"/>
      <c r="JBD23" s="623"/>
      <c r="JBE23" s="623"/>
      <c r="JBF23" s="623"/>
      <c r="JBG23" s="623"/>
      <c r="JBH23" s="623"/>
      <c r="JBI23" s="623"/>
      <c r="JBJ23" s="623"/>
      <c r="JBK23" s="623"/>
      <c r="JBL23" s="623"/>
      <c r="JBM23" s="623"/>
      <c r="JBN23" s="623"/>
      <c r="JBO23" s="623"/>
      <c r="JBP23" s="623"/>
      <c r="JBQ23" s="623"/>
      <c r="JBR23" s="623"/>
      <c r="JBS23" s="623"/>
      <c r="JBT23" s="623"/>
      <c r="JBU23" s="623"/>
      <c r="JBV23" s="623"/>
      <c r="JBW23" s="623"/>
      <c r="JBX23" s="623"/>
      <c r="JBY23" s="623"/>
      <c r="JBZ23" s="623"/>
      <c r="JCA23" s="623"/>
      <c r="JCB23" s="623"/>
      <c r="JCC23" s="623"/>
      <c r="JCD23" s="623"/>
      <c r="JCE23" s="623"/>
      <c r="JCF23" s="623"/>
      <c r="JCG23" s="623"/>
      <c r="JCH23" s="623"/>
      <c r="JCI23" s="623"/>
      <c r="JCJ23" s="623"/>
      <c r="JCK23" s="623"/>
      <c r="JCL23" s="623"/>
      <c r="JCM23" s="623"/>
      <c r="JCN23" s="623"/>
      <c r="JCO23" s="623"/>
      <c r="JCP23" s="623"/>
      <c r="JCQ23" s="623"/>
      <c r="JCR23" s="623"/>
      <c r="JCS23" s="623"/>
      <c r="JCT23" s="623"/>
      <c r="JCU23" s="623"/>
      <c r="JCV23" s="623"/>
      <c r="JCW23" s="623"/>
      <c r="JCX23" s="623"/>
      <c r="JCY23" s="623"/>
      <c r="JCZ23" s="623"/>
      <c r="JDA23" s="623"/>
      <c r="JDB23" s="623"/>
      <c r="JDC23" s="623"/>
      <c r="JDD23" s="623"/>
      <c r="JDE23" s="623"/>
      <c r="JDF23" s="623"/>
      <c r="JDG23" s="623"/>
      <c r="JDH23" s="623"/>
      <c r="JDI23" s="623"/>
      <c r="JDJ23" s="623"/>
      <c r="JDK23" s="623"/>
      <c r="JDL23" s="623"/>
      <c r="JDM23" s="623"/>
      <c r="JDN23" s="623"/>
      <c r="JDO23" s="623"/>
      <c r="JDP23" s="623"/>
      <c r="JDQ23" s="623"/>
      <c r="JDR23" s="623"/>
      <c r="JDS23" s="623"/>
      <c r="JDT23" s="623"/>
      <c r="JDU23" s="623"/>
      <c r="JDV23" s="623"/>
      <c r="JDW23" s="623"/>
      <c r="JDX23" s="623"/>
      <c r="JDY23" s="623"/>
      <c r="JDZ23" s="623"/>
      <c r="JEA23" s="623"/>
      <c r="JEB23" s="623"/>
      <c r="JEC23" s="623"/>
      <c r="JED23" s="623"/>
      <c r="JEE23" s="623"/>
      <c r="JEF23" s="623"/>
      <c r="JEG23" s="623"/>
      <c r="JEH23" s="623"/>
      <c r="JEI23" s="623"/>
      <c r="JEJ23" s="623"/>
      <c r="JEK23" s="623"/>
      <c r="JEL23" s="623"/>
      <c r="JEM23" s="623"/>
      <c r="JEN23" s="623"/>
      <c r="JEO23" s="623"/>
      <c r="JEP23" s="623"/>
      <c r="JEQ23" s="623"/>
      <c r="JER23" s="623"/>
      <c r="JES23" s="623"/>
      <c r="JET23" s="623"/>
      <c r="JEU23" s="623"/>
      <c r="JEV23" s="623"/>
      <c r="JEW23" s="623"/>
      <c r="JEX23" s="623"/>
      <c r="JEY23" s="623"/>
      <c r="JEZ23" s="623"/>
      <c r="JFA23" s="623"/>
      <c r="JFB23" s="623"/>
      <c r="JFC23" s="623"/>
      <c r="JFD23" s="623"/>
      <c r="JFE23" s="623"/>
      <c r="JFF23" s="623"/>
      <c r="JFG23" s="623"/>
      <c r="JFH23" s="623"/>
      <c r="JFI23" s="623"/>
      <c r="JFJ23" s="623"/>
      <c r="JFK23" s="623"/>
      <c r="JFL23" s="623"/>
      <c r="JFM23" s="623"/>
      <c r="JFN23" s="623"/>
      <c r="JFO23" s="623"/>
      <c r="JFP23" s="623"/>
      <c r="JFQ23" s="623"/>
      <c r="JFR23" s="623"/>
      <c r="JFS23" s="623"/>
      <c r="JFT23" s="623"/>
      <c r="JFU23" s="623"/>
      <c r="JFV23" s="623"/>
      <c r="JFW23" s="623"/>
      <c r="JFX23" s="623"/>
      <c r="JFY23" s="623"/>
      <c r="JFZ23" s="623"/>
      <c r="JGA23" s="623"/>
      <c r="JGB23" s="623"/>
      <c r="JGC23" s="623"/>
      <c r="JGD23" s="623"/>
      <c r="JGE23" s="623"/>
      <c r="JGF23" s="623"/>
      <c r="JGG23" s="623"/>
      <c r="JGH23" s="623"/>
      <c r="JGI23" s="623"/>
      <c r="JGJ23" s="623"/>
      <c r="JGK23" s="623"/>
      <c r="JGL23" s="623"/>
      <c r="JGM23" s="623"/>
      <c r="JGN23" s="623"/>
      <c r="JGO23" s="623"/>
      <c r="JGP23" s="623"/>
      <c r="JGQ23" s="623"/>
      <c r="JGR23" s="623"/>
      <c r="JGS23" s="623"/>
      <c r="JGT23" s="623"/>
      <c r="JGU23" s="623"/>
      <c r="JGV23" s="623"/>
      <c r="JGW23" s="623"/>
      <c r="JGX23" s="623"/>
      <c r="JGY23" s="623"/>
      <c r="JGZ23" s="623"/>
      <c r="JHA23" s="623"/>
      <c r="JHB23" s="623"/>
      <c r="JHC23" s="623"/>
      <c r="JHD23" s="623"/>
      <c r="JHE23" s="623"/>
      <c r="JHF23" s="623"/>
      <c r="JHG23" s="623"/>
      <c r="JHH23" s="623"/>
      <c r="JHI23" s="623"/>
      <c r="JHJ23" s="623"/>
      <c r="JHK23" s="623"/>
      <c r="JHL23" s="623"/>
      <c r="JHM23" s="623"/>
      <c r="JHN23" s="623"/>
      <c r="JHO23" s="623"/>
      <c r="JHP23" s="623"/>
      <c r="JHQ23" s="623"/>
      <c r="JHR23" s="623"/>
      <c r="JHS23" s="623"/>
      <c r="JHT23" s="623"/>
      <c r="JHU23" s="623"/>
      <c r="JHV23" s="623"/>
      <c r="JHW23" s="623"/>
      <c r="JHX23" s="623"/>
      <c r="JHY23" s="623"/>
      <c r="JHZ23" s="623"/>
      <c r="JIA23" s="623"/>
      <c r="JIB23" s="623"/>
      <c r="JIC23" s="623"/>
      <c r="JID23" s="623"/>
      <c r="JIE23" s="623"/>
      <c r="JIF23" s="623"/>
      <c r="JIG23" s="623"/>
      <c r="JIH23" s="623"/>
      <c r="JII23" s="623"/>
      <c r="JIJ23" s="623"/>
      <c r="JIK23" s="623"/>
      <c r="JIL23" s="623"/>
      <c r="JIM23" s="623"/>
      <c r="JIN23" s="623"/>
      <c r="JIO23" s="623"/>
      <c r="JIP23" s="623"/>
      <c r="JIQ23" s="623"/>
      <c r="JIR23" s="623"/>
      <c r="JIS23" s="623"/>
      <c r="JIT23" s="623"/>
      <c r="JIU23" s="623"/>
      <c r="JIV23" s="623"/>
      <c r="JIW23" s="623"/>
      <c r="JIX23" s="623"/>
      <c r="JIY23" s="623"/>
      <c r="JIZ23" s="623"/>
      <c r="JJA23" s="623"/>
      <c r="JJB23" s="623"/>
      <c r="JJC23" s="623"/>
      <c r="JJD23" s="623"/>
      <c r="JJE23" s="623"/>
      <c r="JJF23" s="623"/>
      <c r="JJG23" s="623"/>
      <c r="JJH23" s="623"/>
      <c r="JJI23" s="623"/>
      <c r="JJJ23" s="623"/>
      <c r="JJK23" s="623"/>
      <c r="JJL23" s="623"/>
      <c r="JJM23" s="623"/>
      <c r="JJN23" s="623"/>
      <c r="JJO23" s="623"/>
      <c r="JJP23" s="623"/>
      <c r="JJQ23" s="623"/>
      <c r="JJR23" s="623"/>
      <c r="JJS23" s="623"/>
      <c r="JJT23" s="623"/>
      <c r="JJU23" s="623"/>
      <c r="JJV23" s="623"/>
      <c r="JJW23" s="623"/>
      <c r="JJX23" s="623"/>
      <c r="JJY23" s="623"/>
      <c r="JJZ23" s="623"/>
      <c r="JKA23" s="623"/>
      <c r="JKB23" s="623"/>
      <c r="JKC23" s="623"/>
      <c r="JKD23" s="623"/>
      <c r="JKE23" s="623"/>
      <c r="JKF23" s="623"/>
      <c r="JKG23" s="623"/>
      <c r="JKH23" s="623"/>
      <c r="JKI23" s="623"/>
      <c r="JKJ23" s="623"/>
      <c r="JKK23" s="623"/>
      <c r="JKL23" s="623"/>
      <c r="JKM23" s="623"/>
      <c r="JKN23" s="623"/>
      <c r="JKO23" s="623"/>
      <c r="JKP23" s="623"/>
      <c r="JKQ23" s="623"/>
      <c r="JKR23" s="623"/>
      <c r="JKS23" s="623"/>
      <c r="JKT23" s="623"/>
      <c r="JKU23" s="623"/>
      <c r="JKV23" s="623"/>
      <c r="JKW23" s="623"/>
      <c r="JKX23" s="623"/>
      <c r="JKY23" s="623"/>
      <c r="JKZ23" s="623"/>
      <c r="JLA23" s="623"/>
      <c r="JLB23" s="623"/>
      <c r="JLC23" s="623"/>
      <c r="JLD23" s="623"/>
      <c r="JLE23" s="623"/>
      <c r="JLF23" s="623"/>
      <c r="JLG23" s="623"/>
      <c r="JLH23" s="623"/>
      <c r="JLI23" s="623"/>
      <c r="JLJ23" s="623"/>
      <c r="JLK23" s="623"/>
      <c r="JLL23" s="623"/>
      <c r="JLM23" s="623"/>
      <c r="JLN23" s="623"/>
      <c r="JLO23" s="623"/>
      <c r="JLP23" s="623"/>
      <c r="JLQ23" s="623"/>
      <c r="JLR23" s="623"/>
      <c r="JLS23" s="623"/>
      <c r="JLT23" s="623"/>
      <c r="JLU23" s="623"/>
      <c r="JLV23" s="623"/>
      <c r="JLW23" s="623"/>
      <c r="JLX23" s="623"/>
      <c r="JLY23" s="623"/>
      <c r="JLZ23" s="623"/>
      <c r="JMA23" s="623"/>
      <c r="JMB23" s="623"/>
      <c r="JMC23" s="623"/>
      <c r="JMD23" s="623"/>
      <c r="JME23" s="623"/>
      <c r="JMF23" s="623"/>
      <c r="JMG23" s="623"/>
      <c r="JMH23" s="623"/>
      <c r="JMI23" s="623"/>
      <c r="JMJ23" s="623"/>
      <c r="JMK23" s="623"/>
      <c r="JML23" s="623"/>
      <c r="JMM23" s="623"/>
      <c r="JMN23" s="623"/>
      <c r="JMO23" s="623"/>
      <c r="JMP23" s="623"/>
      <c r="JMQ23" s="623"/>
      <c r="JMR23" s="623"/>
      <c r="JMS23" s="623"/>
      <c r="JMT23" s="623"/>
      <c r="JMU23" s="623"/>
      <c r="JMV23" s="623"/>
      <c r="JMW23" s="623"/>
      <c r="JMX23" s="623"/>
      <c r="JMY23" s="623"/>
      <c r="JMZ23" s="623"/>
      <c r="JNA23" s="623"/>
      <c r="JNB23" s="623"/>
      <c r="JNC23" s="623"/>
      <c r="JND23" s="623"/>
      <c r="JNE23" s="623"/>
      <c r="JNF23" s="623"/>
      <c r="JNG23" s="623"/>
      <c r="JNH23" s="623"/>
      <c r="JNI23" s="623"/>
      <c r="JNJ23" s="623"/>
      <c r="JNK23" s="623"/>
      <c r="JNL23" s="623"/>
      <c r="JNM23" s="623"/>
      <c r="JNN23" s="623"/>
      <c r="JNO23" s="623"/>
      <c r="JNP23" s="623"/>
      <c r="JNQ23" s="623"/>
      <c r="JNR23" s="623"/>
      <c r="JNS23" s="623"/>
      <c r="JNT23" s="623"/>
      <c r="JNU23" s="623"/>
      <c r="JNV23" s="623"/>
      <c r="JNW23" s="623"/>
      <c r="JNX23" s="623"/>
      <c r="JNY23" s="623"/>
      <c r="JNZ23" s="623"/>
      <c r="JOA23" s="623"/>
      <c r="JOB23" s="623"/>
      <c r="JOC23" s="623"/>
      <c r="JOD23" s="623"/>
      <c r="JOE23" s="623"/>
      <c r="JOF23" s="623"/>
      <c r="JOG23" s="623"/>
      <c r="JOH23" s="623"/>
      <c r="JOI23" s="623"/>
      <c r="JOJ23" s="623"/>
      <c r="JOK23" s="623"/>
      <c r="JOL23" s="623"/>
      <c r="JOM23" s="623"/>
      <c r="JON23" s="623"/>
      <c r="JOO23" s="623"/>
      <c r="JOP23" s="623"/>
      <c r="JOQ23" s="623"/>
      <c r="JOR23" s="623"/>
      <c r="JOS23" s="623"/>
      <c r="JOT23" s="623"/>
      <c r="JOU23" s="623"/>
      <c r="JOV23" s="623"/>
      <c r="JOW23" s="623"/>
      <c r="JOX23" s="623"/>
      <c r="JOY23" s="623"/>
      <c r="JOZ23" s="623"/>
      <c r="JPA23" s="623"/>
      <c r="JPB23" s="623"/>
      <c r="JPC23" s="623"/>
      <c r="JPD23" s="623"/>
      <c r="JPE23" s="623"/>
      <c r="JPF23" s="623"/>
      <c r="JPG23" s="623"/>
      <c r="JPH23" s="623"/>
      <c r="JPI23" s="623"/>
      <c r="JPJ23" s="623"/>
      <c r="JPK23" s="623"/>
      <c r="JPL23" s="623"/>
      <c r="JPM23" s="623"/>
      <c r="JPN23" s="623"/>
      <c r="JPO23" s="623"/>
      <c r="JPP23" s="623"/>
      <c r="JPQ23" s="623"/>
      <c r="JPR23" s="623"/>
      <c r="JPS23" s="623"/>
      <c r="JPT23" s="623"/>
      <c r="JPU23" s="623"/>
      <c r="JPV23" s="623"/>
      <c r="JPW23" s="623"/>
      <c r="JPX23" s="623"/>
      <c r="JPY23" s="623"/>
      <c r="JPZ23" s="623"/>
      <c r="JQA23" s="623"/>
      <c r="JQB23" s="623"/>
      <c r="JQC23" s="623"/>
      <c r="JQD23" s="623"/>
      <c r="JQE23" s="623"/>
      <c r="JQF23" s="623"/>
      <c r="JQG23" s="623"/>
      <c r="JQH23" s="623"/>
      <c r="JQI23" s="623"/>
      <c r="JQJ23" s="623"/>
      <c r="JQK23" s="623"/>
      <c r="JQL23" s="623"/>
      <c r="JQM23" s="623"/>
      <c r="JQN23" s="623"/>
      <c r="JQO23" s="623"/>
      <c r="JQP23" s="623"/>
      <c r="JQQ23" s="623"/>
      <c r="JQR23" s="623"/>
      <c r="JQS23" s="623"/>
      <c r="JQT23" s="623"/>
      <c r="JQU23" s="623"/>
      <c r="JQV23" s="623"/>
      <c r="JQW23" s="623"/>
      <c r="JQX23" s="623"/>
      <c r="JQY23" s="623"/>
      <c r="JQZ23" s="623"/>
      <c r="JRA23" s="623"/>
      <c r="JRB23" s="623"/>
      <c r="JRC23" s="623"/>
      <c r="JRD23" s="623"/>
      <c r="JRE23" s="623"/>
      <c r="JRF23" s="623"/>
      <c r="JRG23" s="623"/>
      <c r="JRH23" s="623"/>
      <c r="JRI23" s="623"/>
      <c r="JRJ23" s="623"/>
      <c r="JRK23" s="623"/>
      <c r="JRL23" s="623"/>
      <c r="JRM23" s="623"/>
      <c r="JRN23" s="623"/>
      <c r="JRO23" s="623"/>
      <c r="JRP23" s="623"/>
      <c r="JRQ23" s="623"/>
      <c r="JRR23" s="623"/>
      <c r="JRS23" s="623"/>
      <c r="JRT23" s="623"/>
      <c r="JRU23" s="623"/>
      <c r="JRV23" s="623"/>
      <c r="JRW23" s="623"/>
      <c r="JRX23" s="623"/>
      <c r="JRY23" s="623"/>
      <c r="JRZ23" s="623"/>
      <c r="JSA23" s="623"/>
      <c r="JSB23" s="623"/>
      <c r="JSC23" s="623"/>
      <c r="JSD23" s="623"/>
      <c r="JSE23" s="623"/>
      <c r="JSF23" s="623"/>
      <c r="JSG23" s="623"/>
      <c r="JSH23" s="623"/>
      <c r="JSI23" s="623"/>
      <c r="JSJ23" s="623"/>
      <c r="JSK23" s="623"/>
      <c r="JSL23" s="623"/>
      <c r="JSM23" s="623"/>
      <c r="JSN23" s="623"/>
      <c r="JSO23" s="623"/>
      <c r="JSP23" s="623"/>
      <c r="JSQ23" s="623"/>
      <c r="JSR23" s="623"/>
      <c r="JSS23" s="623"/>
      <c r="JST23" s="623"/>
      <c r="JSU23" s="623"/>
      <c r="JSV23" s="623"/>
      <c r="JSW23" s="623"/>
      <c r="JSX23" s="623"/>
      <c r="JSY23" s="623"/>
      <c r="JSZ23" s="623"/>
      <c r="JTA23" s="623"/>
      <c r="JTB23" s="623"/>
      <c r="JTC23" s="623"/>
      <c r="JTD23" s="623"/>
      <c r="JTE23" s="623"/>
      <c r="JTF23" s="623"/>
      <c r="JTG23" s="623"/>
      <c r="JTH23" s="623"/>
      <c r="JTI23" s="623"/>
      <c r="JTJ23" s="623"/>
      <c r="JTK23" s="623"/>
      <c r="JTL23" s="623"/>
      <c r="JTM23" s="623"/>
      <c r="JTN23" s="623"/>
      <c r="JTO23" s="623"/>
      <c r="JTP23" s="623"/>
      <c r="JTQ23" s="623"/>
      <c r="JTR23" s="623"/>
      <c r="JTS23" s="623"/>
      <c r="JTT23" s="623"/>
      <c r="JTU23" s="623"/>
      <c r="JTV23" s="623"/>
      <c r="JTW23" s="623"/>
      <c r="JTX23" s="623"/>
      <c r="JTY23" s="623"/>
      <c r="JTZ23" s="623"/>
      <c r="JUA23" s="623"/>
      <c r="JUB23" s="623"/>
      <c r="JUC23" s="623"/>
      <c r="JUD23" s="623"/>
      <c r="JUE23" s="623"/>
      <c r="JUF23" s="623"/>
      <c r="JUG23" s="623"/>
      <c r="JUH23" s="623"/>
      <c r="JUI23" s="623"/>
      <c r="JUJ23" s="623"/>
      <c r="JUK23" s="623"/>
      <c r="JUL23" s="623"/>
      <c r="JUM23" s="623"/>
      <c r="JUN23" s="623"/>
      <c r="JUO23" s="623"/>
      <c r="JUP23" s="623"/>
      <c r="JUQ23" s="623"/>
      <c r="JUR23" s="623"/>
      <c r="JUS23" s="623"/>
      <c r="JUT23" s="623"/>
      <c r="JUU23" s="623"/>
      <c r="JUV23" s="623"/>
      <c r="JUW23" s="623"/>
      <c r="JUX23" s="623"/>
      <c r="JUY23" s="623"/>
      <c r="JUZ23" s="623"/>
      <c r="JVA23" s="623"/>
      <c r="JVB23" s="623"/>
      <c r="JVC23" s="623"/>
      <c r="JVD23" s="623"/>
      <c r="JVE23" s="623"/>
      <c r="JVF23" s="623"/>
      <c r="JVG23" s="623"/>
      <c r="JVH23" s="623"/>
      <c r="JVI23" s="623"/>
      <c r="JVJ23" s="623"/>
      <c r="JVK23" s="623"/>
      <c r="JVL23" s="623"/>
      <c r="JVM23" s="623"/>
      <c r="JVN23" s="623"/>
      <c r="JVO23" s="623"/>
      <c r="JVP23" s="623"/>
      <c r="JVQ23" s="623"/>
      <c r="JVR23" s="623"/>
      <c r="JVS23" s="623"/>
      <c r="JVT23" s="623"/>
      <c r="JVU23" s="623"/>
      <c r="JVV23" s="623"/>
      <c r="JVW23" s="623"/>
      <c r="JVX23" s="623"/>
      <c r="JVY23" s="623"/>
      <c r="JVZ23" s="623"/>
      <c r="JWA23" s="623"/>
      <c r="JWB23" s="623"/>
      <c r="JWC23" s="623"/>
      <c r="JWD23" s="623"/>
      <c r="JWE23" s="623"/>
      <c r="JWF23" s="623"/>
      <c r="JWG23" s="623"/>
      <c r="JWH23" s="623"/>
      <c r="JWI23" s="623"/>
      <c r="JWJ23" s="623"/>
      <c r="JWK23" s="623"/>
      <c r="JWL23" s="623"/>
      <c r="JWM23" s="623"/>
      <c r="JWN23" s="623"/>
      <c r="JWO23" s="623"/>
      <c r="JWP23" s="623"/>
      <c r="JWQ23" s="623"/>
      <c r="JWR23" s="623"/>
      <c r="JWS23" s="623"/>
      <c r="JWT23" s="623"/>
      <c r="JWU23" s="623"/>
      <c r="JWV23" s="623"/>
      <c r="JWW23" s="623"/>
      <c r="JWX23" s="623"/>
      <c r="JWY23" s="623"/>
      <c r="JWZ23" s="623"/>
      <c r="JXA23" s="623"/>
      <c r="JXB23" s="623"/>
      <c r="JXC23" s="623"/>
      <c r="JXD23" s="623"/>
      <c r="JXE23" s="623"/>
      <c r="JXF23" s="623"/>
      <c r="JXG23" s="623"/>
      <c r="JXH23" s="623"/>
      <c r="JXI23" s="623"/>
      <c r="JXJ23" s="623"/>
      <c r="JXK23" s="623"/>
      <c r="JXL23" s="623"/>
      <c r="JXM23" s="623"/>
      <c r="JXN23" s="623"/>
      <c r="JXO23" s="623"/>
      <c r="JXP23" s="623"/>
      <c r="JXQ23" s="623"/>
      <c r="JXR23" s="623"/>
      <c r="JXS23" s="623"/>
      <c r="JXT23" s="623"/>
      <c r="JXU23" s="623"/>
      <c r="JXV23" s="623"/>
      <c r="JXW23" s="623"/>
      <c r="JXX23" s="623"/>
      <c r="JXY23" s="623"/>
      <c r="JXZ23" s="623"/>
      <c r="JYA23" s="623"/>
      <c r="JYB23" s="623"/>
      <c r="JYC23" s="623"/>
      <c r="JYD23" s="623"/>
      <c r="JYE23" s="623"/>
      <c r="JYF23" s="623"/>
      <c r="JYG23" s="623"/>
      <c r="JYH23" s="623"/>
      <c r="JYI23" s="623"/>
      <c r="JYJ23" s="623"/>
      <c r="JYK23" s="623"/>
      <c r="JYL23" s="623"/>
      <c r="JYM23" s="623"/>
      <c r="JYN23" s="623"/>
      <c r="JYO23" s="623"/>
      <c r="JYP23" s="623"/>
      <c r="JYQ23" s="623"/>
      <c r="JYR23" s="623"/>
      <c r="JYS23" s="623"/>
      <c r="JYT23" s="623"/>
      <c r="JYU23" s="623"/>
      <c r="JYV23" s="623"/>
      <c r="JYW23" s="623"/>
      <c r="JYX23" s="623"/>
      <c r="JYY23" s="623"/>
      <c r="JYZ23" s="623"/>
      <c r="JZA23" s="623"/>
      <c r="JZB23" s="623"/>
      <c r="JZC23" s="623"/>
      <c r="JZD23" s="623"/>
      <c r="JZE23" s="623"/>
      <c r="JZF23" s="623"/>
      <c r="JZG23" s="623"/>
      <c r="JZH23" s="623"/>
      <c r="JZI23" s="623"/>
      <c r="JZJ23" s="623"/>
      <c r="JZK23" s="623"/>
      <c r="JZL23" s="623"/>
      <c r="JZM23" s="623"/>
      <c r="JZN23" s="623"/>
      <c r="JZO23" s="623"/>
      <c r="JZP23" s="623"/>
      <c r="JZQ23" s="623"/>
      <c r="JZR23" s="623"/>
      <c r="JZS23" s="623"/>
      <c r="JZT23" s="623"/>
      <c r="JZU23" s="623"/>
      <c r="JZV23" s="623"/>
      <c r="JZW23" s="623"/>
      <c r="JZX23" s="623"/>
      <c r="JZY23" s="623"/>
      <c r="JZZ23" s="623"/>
      <c r="KAA23" s="623"/>
      <c r="KAB23" s="623"/>
      <c r="KAC23" s="623"/>
      <c r="KAD23" s="623"/>
      <c r="KAE23" s="623"/>
      <c r="KAF23" s="623"/>
      <c r="KAG23" s="623"/>
      <c r="KAH23" s="623"/>
      <c r="KAI23" s="623"/>
      <c r="KAJ23" s="623"/>
      <c r="KAK23" s="623"/>
      <c r="KAL23" s="623"/>
      <c r="KAM23" s="623"/>
      <c r="KAN23" s="623"/>
      <c r="KAO23" s="623"/>
      <c r="KAP23" s="623"/>
      <c r="KAQ23" s="623"/>
      <c r="KAR23" s="623"/>
      <c r="KAS23" s="623"/>
      <c r="KAT23" s="623"/>
      <c r="KAU23" s="623"/>
      <c r="KAV23" s="623"/>
      <c r="KAW23" s="623"/>
      <c r="KAX23" s="623"/>
      <c r="KAY23" s="623"/>
      <c r="KAZ23" s="623"/>
      <c r="KBA23" s="623"/>
      <c r="KBB23" s="623"/>
      <c r="KBC23" s="623"/>
      <c r="KBD23" s="623"/>
      <c r="KBE23" s="623"/>
      <c r="KBF23" s="623"/>
      <c r="KBG23" s="623"/>
      <c r="KBH23" s="623"/>
      <c r="KBI23" s="623"/>
      <c r="KBJ23" s="623"/>
      <c r="KBK23" s="623"/>
      <c r="KBL23" s="623"/>
      <c r="KBM23" s="623"/>
      <c r="KBN23" s="623"/>
      <c r="KBO23" s="623"/>
      <c r="KBP23" s="623"/>
      <c r="KBQ23" s="623"/>
      <c r="KBR23" s="623"/>
      <c r="KBS23" s="623"/>
      <c r="KBT23" s="623"/>
      <c r="KBU23" s="623"/>
      <c r="KBV23" s="623"/>
      <c r="KBW23" s="623"/>
      <c r="KBX23" s="623"/>
      <c r="KBY23" s="623"/>
      <c r="KBZ23" s="623"/>
      <c r="KCA23" s="623"/>
      <c r="KCB23" s="623"/>
      <c r="KCC23" s="623"/>
      <c r="KCD23" s="623"/>
      <c r="KCE23" s="623"/>
      <c r="KCF23" s="623"/>
      <c r="KCG23" s="623"/>
      <c r="KCH23" s="623"/>
      <c r="KCI23" s="623"/>
      <c r="KCJ23" s="623"/>
      <c r="KCK23" s="623"/>
      <c r="KCL23" s="623"/>
      <c r="KCM23" s="623"/>
      <c r="KCN23" s="623"/>
      <c r="KCO23" s="623"/>
      <c r="KCP23" s="623"/>
      <c r="KCQ23" s="623"/>
      <c r="KCR23" s="623"/>
      <c r="KCS23" s="623"/>
      <c r="KCT23" s="623"/>
      <c r="KCU23" s="623"/>
      <c r="KCV23" s="623"/>
      <c r="KCW23" s="623"/>
      <c r="KCX23" s="623"/>
      <c r="KCY23" s="623"/>
      <c r="KCZ23" s="623"/>
      <c r="KDA23" s="623"/>
      <c r="KDB23" s="623"/>
      <c r="KDC23" s="623"/>
      <c r="KDD23" s="623"/>
      <c r="KDE23" s="623"/>
      <c r="KDF23" s="623"/>
      <c r="KDG23" s="623"/>
      <c r="KDH23" s="623"/>
      <c r="KDI23" s="623"/>
      <c r="KDJ23" s="623"/>
      <c r="KDK23" s="623"/>
      <c r="KDL23" s="623"/>
      <c r="KDM23" s="623"/>
      <c r="KDN23" s="623"/>
      <c r="KDO23" s="623"/>
      <c r="KDP23" s="623"/>
      <c r="KDQ23" s="623"/>
      <c r="KDR23" s="623"/>
      <c r="KDS23" s="623"/>
      <c r="KDT23" s="623"/>
      <c r="KDU23" s="623"/>
      <c r="KDV23" s="623"/>
      <c r="KDW23" s="623"/>
      <c r="KDX23" s="623"/>
      <c r="KDY23" s="623"/>
      <c r="KDZ23" s="623"/>
      <c r="KEA23" s="623"/>
      <c r="KEB23" s="623"/>
      <c r="KEC23" s="623"/>
      <c r="KED23" s="623"/>
      <c r="KEE23" s="623"/>
      <c r="KEF23" s="623"/>
      <c r="KEG23" s="623"/>
      <c r="KEH23" s="623"/>
      <c r="KEI23" s="623"/>
      <c r="KEJ23" s="623"/>
      <c r="KEK23" s="623"/>
      <c r="KEL23" s="623"/>
      <c r="KEM23" s="623"/>
      <c r="KEN23" s="623"/>
      <c r="KEO23" s="623"/>
      <c r="KEP23" s="623"/>
      <c r="KEQ23" s="623"/>
      <c r="KER23" s="623"/>
      <c r="KES23" s="623"/>
      <c r="KET23" s="623"/>
      <c r="KEU23" s="623"/>
      <c r="KEV23" s="623"/>
      <c r="KEW23" s="623"/>
      <c r="KEX23" s="623"/>
      <c r="KEY23" s="623"/>
      <c r="KEZ23" s="623"/>
      <c r="KFA23" s="623"/>
      <c r="KFB23" s="623"/>
      <c r="KFC23" s="623"/>
      <c r="KFD23" s="623"/>
      <c r="KFE23" s="623"/>
      <c r="KFF23" s="623"/>
      <c r="KFG23" s="623"/>
      <c r="KFH23" s="623"/>
      <c r="KFI23" s="623"/>
      <c r="KFJ23" s="623"/>
      <c r="KFK23" s="623"/>
      <c r="KFL23" s="623"/>
      <c r="KFM23" s="623"/>
      <c r="KFN23" s="623"/>
      <c r="KFO23" s="623"/>
      <c r="KFP23" s="623"/>
      <c r="KFQ23" s="623"/>
      <c r="KFR23" s="623"/>
      <c r="KFS23" s="623"/>
      <c r="KFT23" s="623"/>
      <c r="KFU23" s="623"/>
      <c r="KFV23" s="623"/>
      <c r="KFW23" s="623"/>
      <c r="KFX23" s="623"/>
      <c r="KFY23" s="623"/>
      <c r="KFZ23" s="623"/>
      <c r="KGA23" s="623"/>
      <c r="KGB23" s="623"/>
      <c r="KGC23" s="623"/>
      <c r="KGD23" s="623"/>
      <c r="KGE23" s="623"/>
      <c r="KGF23" s="623"/>
      <c r="KGG23" s="623"/>
      <c r="KGH23" s="623"/>
      <c r="KGI23" s="623"/>
      <c r="KGJ23" s="623"/>
      <c r="KGK23" s="623"/>
      <c r="KGL23" s="623"/>
      <c r="KGM23" s="623"/>
      <c r="KGN23" s="623"/>
      <c r="KGO23" s="623"/>
      <c r="KGP23" s="623"/>
      <c r="KGQ23" s="623"/>
      <c r="KGR23" s="623"/>
      <c r="KGS23" s="623"/>
      <c r="KGT23" s="623"/>
      <c r="KGU23" s="623"/>
      <c r="KGV23" s="623"/>
      <c r="KGW23" s="623"/>
      <c r="KGX23" s="623"/>
      <c r="KGY23" s="623"/>
      <c r="KGZ23" s="623"/>
      <c r="KHA23" s="623"/>
      <c r="KHB23" s="623"/>
      <c r="KHC23" s="623"/>
      <c r="KHD23" s="623"/>
      <c r="KHE23" s="623"/>
      <c r="KHF23" s="623"/>
      <c r="KHG23" s="623"/>
      <c r="KHH23" s="623"/>
      <c r="KHI23" s="623"/>
      <c r="KHJ23" s="623"/>
      <c r="KHK23" s="623"/>
      <c r="KHL23" s="623"/>
      <c r="KHM23" s="623"/>
      <c r="KHN23" s="623"/>
      <c r="KHO23" s="623"/>
      <c r="KHP23" s="623"/>
      <c r="KHQ23" s="623"/>
      <c r="KHR23" s="623"/>
      <c r="KHS23" s="623"/>
      <c r="KHT23" s="623"/>
      <c r="KHU23" s="623"/>
      <c r="KHV23" s="623"/>
      <c r="KHW23" s="623"/>
      <c r="KHX23" s="623"/>
      <c r="KHY23" s="623"/>
      <c r="KHZ23" s="623"/>
      <c r="KIA23" s="623"/>
      <c r="KIB23" s="623"/>
      <c r="KIC23" s="623"/>
      <c r="KID23" s="623"/>
      <c r="KIE23" s="623"/>
      <c r="KIF23" s="623"/>
      <c r="KIG23" s="623"/>
      <c r="KIH23" s="623"/>
      <c r="KII23" s="623"/>
      <c r="KIJ23" s="623"/>
      <c r="KIK23" s="623"/>
      <c r="KIL23" s="623"/>
      <c r="KIM23" s="623"/>
      <c r="KIN23" s="623"/>
      <c r="KIO23" s="623"/>
      <c r="KIP23" s="623"/>
      <c r="KIQ23" s="623"/>
      <c r="KIR23" s="623"/>
      <c r="KIS23" s="623"/>
      <c r="KIT23" s="623"/>
      <c r="KIU23" s="623"/>
      <c r="KIV23" s="623"/>
      <c r="KIW23" s="623"/>
      <c r="KIX23" s="623"/>
      <c r="KIY23" s="623"/>
      <c r="KIZ23" s="623"/>
      <c r="KJA23" s="623"/>
      <c r="KJB23" s="623"/>
      <c r="KJC23" s="623"/>
      <c r="KJD23" s="623"/>
      <c r="KJE23" s="623"/>
      <c r="KJF23" s="623"/>
      <c r="KJG23" s="623"/>
      <c r="KJH23" s="623"/>
      <c r="KJI23" s="623"/>
      <c r="KJJ23" s="623"/>
      <c r="KJK23" s="623"/>
      <c r="KJL23" s="623"/>
      <c r="KJM23" s="623"/>
      <c r="KJN23" s="623"/>
      <c r="KJO23" s="623"/>
      <c r="KJP23" s="623"/>
      <c r="KJQ23" s="623"/>
      <c r="KJR23" s="623"/>
      <c r="KJS23" s="623"/>
      <c r="KJT23" s="623"/>
      <c r="KJU23" s="623"/>
      <c r="KJV23" s="623"/>
      <c r="KJW23" s="623"/>
      <c r="KJX23" s="623"/>
      <c r="KJY23" s="623"/>
      <c r="KJZ23" s="623"/>
      <c r="KKA23" s="623"/>
      <c r="KKB23" s="623"/>
      <c r="KKC23" s="623"/>
      <c r="KKD23" s="623"/>
      <c r="KKE23" s="623"/>
      <c r="KKF23" s="623"/>
      <c r="KKG23" s="623"/>
      <c r="KKH23" s="623"/>
      <c r="KKI23" s="623"/>
      <c r="KKJ23" s="623"/>
      <c r="KKK23" s="623"/>
      <c r="KKL23" s="623"/>
      <c r="KKM23" s="623"/>
      <c r="KKN23" s="623"/>
      <c r="KKO23" s="623"/>
      <c r="KKP23" s="623"/>
      <c r="KKQ23" s="623"/>
      <c r="KKR23" s="623"/>
      <c r="KKS23" s="623"/>
      <c r="KKT23" s="623"/>
      <c r="KKU23" s="623"/>
      <c r="KKV23" s="623"/>
      <c r="KKW23" s="623"/>
      <c r="KKX23" s="623"/>
      <c r="KKY23" s="623"/>
      <c r="KKZ23" s="623"/>
      <c r="KLA23" s="623"/>
      <c r="KLB23" s="623"/>
      <c r="KLC23" s="623"/>
      <c r="KLD23" s="623"/>
      <c r="KLE23" s="623"/>
      <c r="KLF23" s="623"/>
      <c r="KLG23" s="623"/>
      <c r="KLH23" s="623"/>
      <c r="KLI23" s="623"/>
      <c r="KLJ23" s="623"/>
      <c r="KLK23" s="623"/>
      <c r="KLL23" s="623"/>
      <c r="KLM23" s="623"/>
      <c r="KLN23" s="623"/>
      <c r="KLO23" s="623"/>
      <c r="KLP23" s="623"/>
      <c r="KLQ23" s="623"/>
      <c r="KLR23" s="623"/>
      <c r="KLS23" s="623"/>
      <c r="KLT23" s="623"/>
      <c r="KLU23" s="623"/>
      <c r="KLV23" s="623"/>
      <c r="KLW23" s="623"/>
      <c r="KLX23" s="623"/>
      <c r="KLY23" s="623"/>
      <c r="KLZ23" s="623"/>
      <c r="KMA23" s="623"/>
      <c r="KMB23" s="623"/>
      <c r="KMC23" s="623"/>
      <c r="KMD23" s="623"/>
      <c r="KME23" s="623"/>
      <c r="KMF23" s="623"/>
      <c r="KMG23" s="623"/>
      <c r="KMH23" s="623"/>
      <c r="KMI23" s="623"/>
      <c r="KMJ23" s="623"/>
      <c r="KMK23" s="623"/>
      <c r="KML23" s="623"/>
      <c r="KMM23" s="623"/>
      <c r="KMN23" s="623"/>
      <c r="KMO23" s="623"/>
      <c r="KMP23" s="623"/>
      <c r="KMQ23" s="623"/>
      <c r="KMR23" s="623"/>
      <c r="KMS23" s="623"/>
      <c r="KMT23" s="623"/>
      <c r="KMU23" s="623"/>
      <c r="KMV23" s="623"/>
      <c r="KMW23" s="623"/>
      <c r="KMX23" s="623"/>
      <c r="KMY23" s="623"/>
      <c r="KMZ23" s="623"/>
      <c r="KNA23" s="623"/>
      <c r="KNB23" s="623"/>
      <c r="KNC23" s="623"/>
      <c r="KND23" s="623"/>
      <c r="KNE23" s="623"/>
      <c r="KNF23" s="623"/>
      <c r="KNG23" s="623"/>
      <c r="KNH23" s="623"/>
      <c r="KNI23" s="623"/>
      <c r="KNJ23" s="623"/>
      <c r="KNK23" s="623"/>
      <c r="KNL23" s="623"/>
      <c r="KNM23" s="623"/>
      <c r="KNN23" s="623"/>
      <c r="KNO23" s="623"/>
      <c r="KNP23" s="623"/>
      <c r="KNQ23" s="623"/>
      <c r="KNR23" s="623"/>
      <c r="KNS23" s="623"/>
      <c r="KNT23" s="623"/>
      <c r="KNU23" s="623"/>
      <c r="KNV23" s="623"/>
      <c r="KNW23" s="623"/>
      <c r="KNX23" s="623"/>
      <c r="KNY23" s="623"/>
      <c r="KNZ23" s="623"/>
      <c r="KOA23" s="623"/>
      <c r="KOB23" s="623"/>
      <c r="KOC23" s="623"/>
      <c r="KOD23" s="623"/>
      <c r="KOE23" s="623"/>
      <c r="KOF23" s="623"/>
      <c r="KOG23" s="623"/>
      <c r="KOH23" s="623"/>
      <c r="KOI23" s="623"/>
      <c r="KOJ23" s="623"/>
      <c r="KOK23" s="623"/>
      <c r="KOL23" s="623"/>
      <c r="KOM23" s="623"/>
      <c r="KON23" s="623"/>
      <c r="KOO23" s="623"/>
      <c r="KOP23" s="623"/>
      <c r="KOQ23" s="623"/>
      <c r="KOR23" s="623"/>
      <c r="KOS23" s="623"/>
      <c r="KOT23" s="623"/>
      <c r="KOU23" s="623"/>
      <c r="KOV23" s="623"/>
      <c r="KOW23" s="623"/>
      <c r="KOX23" s="623"/>
      <c r="KOY23" s="623"/>
      <c r="KOZ23" s="623"/>
      <c r="KPA23" s="623"/>
      <c r="KPB23" s="623"/>
      <c r="KPC23" s="623"/>
      <c r="KPD23" s="623"/>
      <c r="KPE23" s="623"/>
      <c r="KPF23" s="623"/>
      <c r="KPG23" s="623"/>
      <c r="KPH23" s="623"/>
      <c r="KPI23" s="623"/>
      <c r="KPJ23" s="623"/>
      <c r="KPK23" s="623"/>
      <c r="KPL23" s="623"/>
      <c r="KPM23" s="623"/>
      <c r="KPN23" s="623"/>
      <c r="KPO23" s="623"/>
      <c r="KPP23" s="623"/>
      <c r="KPQ23" s="623"/>
      <c r="KPR23" s="623"/>
      <c r="KPS23" s="623"/>
      <c r="KPT23" s="623"/>
      <c r="KPU23" s="623"/>
      <c r="KPV23" s="623"/>
      <c r="KPW23" s="623"/>
      <c r="KPX23" s="623"/>
      <c r="KPY23" s="623"/>
      <c r="KPZ23" s="623"/>
      <c r="KQA23" s="623"/>
      <c r="KQB23" s="623"/>
      <c r="KQC23" s="623"/>
      <c r="KQD23" s="623"/>
      <c r="KQE23" s="623"/>
      <c r="KQF23" s="623"/>
      <c r="KQG23" s="623"/>
      <c r="KQH23" s="623"/>
      <c r="KQI23" s="623"/>
      <c r="KQJ23" s="623"/>
      <c r="KQK23" s="623"/>
      <c r="KQL23" s="623"/>
      <c r="KQM23" s="623"/>
      <c r="KQN23" s="623"/>
      <c r="KQO23" s="623"/>
      <c r="KQP23" s="623"/>
      <c r="KQQ23" s="623"/>
      <c r="KQR23" s="623"/>
      <c r="KQS23" s="623"/>
      <c r="KQT23" s="623"/>
      <c r="KQU23" s="623"/>
      <c r="KQV23" s="623"/>
      <c r="KQW23" s="623"/>
      <c r="KQX23" s="623"/>
      <c r="KQY23" s="623"/>
      <c r="KQZ23" s="623"/>
      <c r="KRA23" s="623"/>
      <c r="KRB23" s="623"/>
      <c r="KRC23" s="623"/>
      <c r="KRD23" s="623"/>
      <c r="KRE23" s="623"/>
      <c r="KRF23" s="623"/>
      <c r="KRG23" s="623"/>
      <c r="KRH23" s="623"/>
      <c r="KRI23" s="623"/>
      <c r="KRJ23" s="623"/>
      <c r="KRK23" s="623"/>
      <c r="KRL23" s="623"/>
      <c r="KRM23" s="623"/>
      <c r="KRN23" s="623"/>
      <c r="KRO23" s="623"/>
      <c r="KRP23" s="623"/>
      <c r="KRQ23" s="623"/>
      <c r="KRR23" s="623"/>
      <c r="KRS23" s="623"/>
      <c r="KRT23" s="623"/>
      <c r="KRU23" s="623"/>
      <c r="KRV23" s="623"/>
      <c r="KRW23" s="623"/>
      <c r="KRX23" s="623"/>
      <c r="KRY23" s="623"/>
      <c r="KRZ23" s="623"/>
      <c r="KSA23" s="623"/>
      <c r="KSB23" s="623"/>
      <c r="KSC23" s="623"/>
      <c r="KSD23" s="623"/>
      <c r="KSE23" s="623"/>
      <c r="KSF23" s="623"/>
      <c r="KSG23" s="623"/>
      <c r="KSH23" s="623"/>
      <c r="KSI23" s="623"/>
      <c r="KSJ23" s="623"/>
      <c r="KSK23" s="623"/>
      <c r="KSL23" s="623"/>
      <c r="KSM23" s="623"/>
      <c r="KSN23" s="623"/>
      <c r="KSO23" s="623"/>
      <c r="KSP23" s="623"/>
      <c r="KSQ23" s="623"/>
      <c r="KSR23" s="623"/>
      <c r="KSS23" s="623"/>
      <c r="KST23" s="623"/>
      <c r="KSU23" s="623"/>
      <c r="KSV23" s="623"/>
      <c r="KSW23" s="623"/>
      <c r="KSX23" s="623"/>
      <c r="KSY23" s="623"/>
      <c r="KSZ23" s="623"/>
      <c r="KTA23" s="623"/>
      <c r="KTB23" s="623"/>
      <c r="KTC23" s="623"/>
      <c r="KTD23" s="623"/>
      <c r="KTE23" s="623"/>
      <c r="KTF23" s="623"/>
      <c r="KTG23" s="623"/>
      <c r="KTH23" s="623"/>
      <c r="KTI23" s="623"/>
      <c r="KTJ23" s="623"/>
      <c r="KTK23" s="623"/>
      <c r="KTL23" s="623"/>
      <c r="KTM23" s="623"/>
      <c r="KTN23" s="623"/>
      <c r="KTO23" s="623"/>
      <c r="KTP23" s="623"/>
      <c r="KTQ23" s="623"/>
      <c r="KTR23" s="623"/>
      <c r="KTS23" s="623"/>
      <c r="KTT23" s="623"/>
      <c r="KTU23" s="623"/>
      <c r="KTV23" s="623"/>
      <c r="KTW23" s="623"/>
      <c r="KTX23" s="623"/>
      <c r="KTY23" s="623"/>
      <c r="KTZ23" s="623"/>
      <c r="KUA23" s="623"/>
      <c r="KUB23" s="623"/>
      <c r="KUC23" s="623"/>
      <c r="KUD23" s="623"/>
      <c r="KUE23" s="623"/>
      <c r="KUF23" s="623"/>
      <c r="KUG23" s="623"/>
      <c r="KUH23" s="623"/>
      <c r="KUI23" s="623"/>
      <c r="KUJ23" s="623"/>
      <c r="KUK23" s="623"/>
      <c r="KUL23" s="623"/>
      <c r="KUM23" s="623"/>
      <c r="KUN23" s="623"/>
      <c r="KUO23" s="623"/>
      <c r="KUP23" s="623"/>
      <c r="KUQ23" s="623"/>
      <c r="KUR23" s="623"/>
      <c r="KUS23" s="623"/>
      <c r="KUT23" s="623"/>
      <c r="KUU23" s="623"/>
      <c r="KUV23" s="623"/>
      <c r="KUW23" s="623"/>
      <c r="KUX23" s="623"/>
      <c r="KUY23" s="623"/>
      <c r="KUZ23" s="623"/>
      <c r="KVA23" s="623"/>
      <c r="KVB23" s="623"/>
      <c r="KVC23" s="623"/>
      <c r="KVD23" s="623"/>
      <c r="KVE23" s="623"/>
      <c r="KVF23" s="623"/>
      <c r="KVG23" s="623"/>
      <c r="KVH23" s="623"/>
      <c r="KVI23" s="623"/>
      <c r="KVJ23" s="623"/>
      <c r="KVK23" s="623"/>
      <c r="KVL23" s="623"/>
      <c r="KVM23" s="623"/>
      <c r="KVN23" s="623"/>
      <c r="KVO23" s="623"/>
      <c r="KVP23" s="623"/>
      <c r="KVQ23" s="623"/>
      <c r="KVR23" s="623"/>
      <c r="KVS23" s="623"/>
      <c r="KVT23" s="623"/>
      <c r="KVU23" s="623"/>
      <c r="KVV23" s="623"/>
      <c r="KVW23" s="623"/>
      <c r="KVX23" s="623"/>
      <c r="KVY23" s="623"/>
      <c r="KVZ23" s="623"/>
      <c r="KWA23" s="623"/>
      <c r="KWB23" s="623"/>
      <c r="KWC23" s="623"/>
      <c r="KWD23" s="623"/>
      <c r="KWE23" s="623"/>
      <c r="KWF23" s="623"/>
      <c r="KWG23" s="623"/>
      <c r="KWH23" s="623"/>
      <c r="KWI23" s="623"/>
      <c r="KWJ23" s="623"/>
      <c r="KWK23" s="623"/>
      <c r="KWL23" s="623"/>
      <c r="KWM23" s="623"/>
      <c r="KWN23" s="623"/>
      <c r="KWO23" s="623"/>
      <c r="KWP23" s="623"/>
      <c r="KWQ23" s="623"/>
      <c r="KWR23" s="623"/>
      <c r="KWS23" s="623"/>
      <c r="KWT23" s="623"/>
      <c r="KWU23" s="623"/>
      <c r="KWV23" s="623"/>
      <c r="KWW23" s="623"/>
      <c r="KWX23" s="623"/>
      <c r="KWY23" s="623"/>
      <c r="KWZ23" s="623"/>
      <c r="KXA23" s="623"/>
      <c r="KXB23" s="623"/>
      <c r="KXC23" s="623"/>
      <c r="KXD23" s="623"/>
      <c r="KXE23" s="623"/>
      <c r="KXF23" s="623"/>
      <c r="KXG23" s="623"/>
      <c r="KXH23" s="623"/>
      <c r="KXI23" s="623"/>
      <c r="KXJ23" s="623"/>
      <c r="KXK23" s="623"/>
      <c r="KXL23" s="623"/>
      <c r="KXM23" s="623"/>
      <c r="KXN23" s="623"/>
      <c r="KXO23" s="623"/>
      <c r="KXP23" s="623"/>
      <c r="KXQ23" s="623"/>
      <c r="KXR23" s="623"/>
      <c r="KXS23" s="623"/>
      <c r="KXT23" s="623"/>
      <c r="KXU23" s="623"/>
      <c r="KXV23" s="623"/>
      <c r="KXW23" s="623"/>
      <c r="KXX23" s="623"/>
      <c r="KXY23" s="623"/>
      <c r="KXZ23" s="623"/>
      <c r="KYA23" s="623"/>
      <c r="KYB23" s="623"/>
      <c r="KYC23" s="623"/>
      <c r="KYD23" s="623"/>
      <c r="KYE23" s="623"/>
      <c r="KYF23" s="623"/>
      <c r="KYG23" s="623"/>
      <c r="KYH23" s="623"/>
      <c r="KYI23" s="623"/>
      <c r="KYJ23" s="623"/>
      <c r="KYK23" s="623"/>
      <c r="KYL23" s="623"/>
      <c r="KYM23" s="623"/>
      <c r="KYN23" s="623"/>
      <c r="KYO23" s="623"/>
      <c r="KYP23" s="623"/>
      <c r="KYQ23" s="623"/>
      <c r="KYR23" s="623"/>
      <c r="KYS23" s="623"/>
      <c r="KYT23" s="623"/>
      <c r="KYU23" s="623"/>
      <c r="KYV23" s="623"/>
      <c r="KYW23" s="623"/>
      <c r="KYX23" s="623"/>
      <c r="KYY23" s="623"/>
      <c r="KYZ23" s="623"/>
      <c r="KZA23" s="623"/>
      <c r="KZB23" s="623"/>
      <c r="KZC23" s="623"/>
      <c r="KZD23" s="623"/>
      <c r="KZE23" s="623"/>
      <c r="KZF23" s="623"/>
      <c r="KZG23" s="623"/>
      <c r="KZH23" s="623"/>
      <c r="KZI23" s="623"/>
      <c r="KZJ23" s="623"/>
      <c r="KZK23" s="623"/>
      <c r="KZL23" s="623"/>
      <c r="KZM23" s="623"/>
      <c r="KZN23" s="623"/>
      <c r="KZO23" s="623"/>
      <c r="KZP23" s="623"/>
      <c r="KZQ23" s="623"/>
      <c r="KZR23" s="623"/>
      <c r="KZS23" s="623"/>
      <c r="KZT23" s="623"/>
      <c r="KZU23" s="623"/>
      <c r="KZV23" s="623"/>
      <c r="KZW23" s="623"/>
      <c r="KZX23" s="623"/>
      <c r="KZY23" s="623"/>
      <c r="KZZ23" s="623"/>
      <c r="LAA23" s="623"/>
      <c r="LAB23" s="623"/>
      <c r="LAC23" s="623"/>
      <c r="LAD23" s="623"/>
      <c r="LAE23" s="623"/>
      <c r="LAF23" s="623"/>
      <c r="LAG23" s="623"/>
      <c r="LAH23" s="623"/>
      <c r="LAI23" s="623"/>
      <c r="LAJ23" s="623"/>
      <c r="LAK23" s="623"/>
      <c r="LAL23" s="623"/>
      <c r="LAM23" s="623"/>
      <c r="LAN23" s="623"/>
      <c r="LAO23" s="623"/>
      <c r="LAP23" s="623"/>
      <c r="LAQ23" s="623"/>
      <c r="LAR23" s="623"/>
      <c r="LAS23" s="623"/>
      <c r="LAT23" s="623"/>
      <c r="LAU23" s="623"/>
      <c r="LAV23" s="623"/>
      <c r="LAW23" s="623"/>
      <c r="LAX23" s="623"/>
      <c r="LAY23" s="623"/>
      <c r="LAZ23" s="623"/>
      <c r="LBA23" s="623"/>
      <c r="LBB23" s="623"/>
      <c r="LBC23" s="623"/>
      <c r="LBD23" s="623"/>
      <c r="LBE23" s="623"/>
      <c r="LBF23" s="623"/>
      <c r="LBG23" s="623"/>
      <c r="LBH23" s="623"/>
      <c r="LBI23" s="623"/>
      <c r="LBJ23" s="623"/>
      <c r="LBK23" s="623"/>
      <c r="LBL23" s="623"/>
      <c r="LBM23" s="623"/>
      <c r="LBN23" s="623"/>
      <c r="LBO23" s="623"/>
      <c r="LBP23" s="623"/>
      <c r="LBQ23" s="623"/>
      <c r="LBR23" s="623"/>
      <c r="LBS23" s="623"/>
      <c r="LBT23" s="623"/>
      <c r="LBU23" s="623"/>
      <c r="LBV23" s="623"/>
      <c r="LBW23" s="623"/>
      <c r="LBX23" s="623"/>
      <c r="LBY23" s="623"/>
      <c r="LBZ23" s="623"/>
      <c r="LCA23" s="623"/>
      <c r="LCB23" s="623"/>
      <c r="LCC23" s="623"/>
      <c r="LCD23" s="623"/>
      <c r="LCE23" s="623"/>
      <c r="LCF23" s="623"/>
      <c r="LCG23" s="623"/>
      <c r="LCH23" s="623"/>
      <c r="LCI23" s="623"/>
      <c r="LCJ23" s="623"/>
      <c r="LCK23" s="623"/>
      <c r="LCL23" s="623"/>
      <c r="LCM23" s="623"/>
      <c r="LCN23" s="623"/>
      <c r="LCO23" s="623"/>
      <c r="LCP23" s="623"/>
      <c r="LCQ23" s="623"/>
      <c r="LCR23" s="623"/>
      <c r="LCS23" s="623"/>
      <c r="LCT23" s="623"/>
      <c r="LCU23" s="623"/>
      <c r="LCV23" s="623"/>
      <c r="LCW23" s="623"/>
      <c r="LCX23" s="623"/>
      <c r="LCY23" s="623"/>
      <c r="LCZ23" s="623"/>
      <c r="LDA23" s="623"/>
      <c r="LDB23" s="623"/>
      <c r="LDC23" s="623"/>
      <c r="LDD23" s="623"/>
      <c r="LDE23" s="623"/>
      <c r="LDF23" s="623"/>
      <c r="LDG23" s="623"/>
      <c r="LDH23" s="623"/>
      <c r="LDI23" s="623"/>
      <c r="LDJ23" s="623"/>
      <c r="LDK23" s="623"/>
      <c r="LDL23" s="623"/>
      <c r="LDM23" s="623"/>
      <c r="LDN23" s="623"/>
      <c r="LDO23" s="623"/>
      <c r="LDP23" s="623"/>
      <c r="LDQ23" s="623"/>
      <c r="LDR23" s="623"/>
      <c r="LDS23" s="623"/>
      <c r="LDT23" s="623"/>
      <c r="LDU23" s="623"/>
      <c r="LDV23" s="623"/>
      <c r="LDW23" s="623"/>
      <c r="LDX23" s="623"/>
      <c r="LDY23" s="623"/>
      <c r="LDZ23" s="623"/>
      <c r="LEA23" s="623"/>
      <c r="LEB23" s="623"/>
      <c r="LEC23" s="623"/>
      <c r="LED23" s="623"/>
      <c r="LEE23" s="623"/>
      <c r="LEF23" s="623"/>
      <c r="LEG23" s="623"/>
      <c r="LEH23" s="623"/>
      <c r="LEI23" s="623"/>
      <c r="LEJ23" s="623"/>
      <c r="LEK23" s="623"/>
      <c r="LEL23" s="623"/>
      <c r="LEM23" s="623"/>
      <c r="LEN23" s="623"/>
      <c r="LEO23" s="623"/>
      <c r="LEP23" s="623"/>
      <c r="LEQ23" s="623"/>
      <c r="LER23" s="623"/>
      <c r="LES23" s="623"/>
      <c r="LET23" s="623"/>
      <c r="LEU23" s="623"/>
      <c r="LEV23" s="623"/>
      <c r="LEW23" s="623"/>
      <c r="LEX23" s="623"/>
      <c r="LEY23" s="623"/>
      <c r="LEZ23" s="623"/>
      <c r="LFA23" s="623"/>
      <c r="LFB23" s="623"/>
      <c r="LFC23" s="623"/>
      <c r="LFD23" s="623"/>
      <c r="LFE23" s="623"/>
      <c r="LFF23" s="623"/>
      <c r="LFG23" s="623"/>
      <c r="LFH23" s="623"/>
      <c r="LFI23" s="623"/>
      <c r="LFJ23" s="623"/>
      <c r="LFK23" s="623"/>
      <c r="LFL23" s="623"/>
      <c r="LFM23" s="623"/>
      <c r="LFN23" s="623"/>
      <c r="LFO23" s="623"/>
      <c r="LFP23" s="623"/>
      <c r="LFQ23" s="623"/>
      <c r="LFR23" s="623"/>
      <c r="LFS23" s="623"/>
      <c r="LFT23" s="623"/>
      <c r="LFU23" s="623"/>
      <c r="LFV23" s="623"/>
      <c r="LFW23" s="623"/>
      <c r="LFX23" s="623"/>
      <c r="LFY23" s="623"/>
      <c r="LFZ23" s="623"/>
      <c r="LGA23" s="623"/>
      <c r="LGB23" s="623"/>
      <c r="LGC23" s="623"/>
      <c r="LGD23" s="623"/>
      <c r="LGE23" s="623"/>
      <c r="LGF23" s="623"/>
      <c r="LGG23" s="623"/>
      <c r="LGH23" s="623"/>
      <c r="LGI23" s="623"/>
      <c r="LGJ23" s="623"/>
      <c r="LGK23" s="623"/>
      <c r="LGL23" s="623"/>
      <c r="LGM23" s="623"/>
      <c r="LGN23" s="623"/>
      <c r="LGO23" s="623"/>
      <c r="LGP23" s="623"/>
      <c r="LGQ23" s="623"/>
      <c r="LGR23" s="623"/>
      <c r="LGS23" s="623"/>
      <c r="LGT23" s="623"/>
      <c r="LGU23" s="623"/>
      <c r="LGV23" s="623"/>
      <c r="LGW23" s="623"/>
      <c r="LGX23" s="623"/>
      <c r="LGY23" s="623"/>
      <c r="LGZ23" s="623"/>
      <c r="LHA23" s="623"/>
      <c r="LHB23" s="623"/>
      <c r="LHC23" s="623"/>
      <c r="LHD23" s="623"/>
      <c r="LHE23" s="623"/>
      <c r="LHF23" s="623"/>
      <c r="LHG23" s="623"/>
      <c r="LHH23" s="623"/>
      <c r="LHI23" s="623"/>
      <c r="LHJ23" s="623"/>
      <c r="LHK23" s="623"/>
      <c r="LHL23" s="623"/>
      <c r="LHM23" s="623"/>
      <c r="LHN23" s="623"/>
      <c r="LHO23" s="623"/>
      <c r="LHP23" s="623"/>
      <c r="LHQ23" s="623"/>
      <c r="LHR23" s="623"/>
      <c r="LHS23" s="623"/>
      <c r="LHT23" s="623"/>
      <c r="LHU23" s="623"/>
      <c r="LHV23" s="623"/>
      <c r="LHW23" s="623"/>
      <c r="LHX23" s="623"/>
      <c r="LHY23" s="623"/>
      <c r="LHZ23" s="623"/>
      <c r="LIA23" s="623"/>
      <c r="LIB23" s="623"/>
      <c r="LIC23" s="623"/>
      <c r="LID23" s="623"/>
      <c r="LIE23" s="623"/>
      <c r="LIF23" s="623"/>
      <c r="LIG23" s="623"/>
      <c r="LIH23" s="623"/>
      <c r="LII23" s="623"/>
      <c r="LIJ23" s="623"/>
      <c r="LIK23" s="623"/>
      <c r="LIL23" s="623"/>
      <c r="LIM23" s="623"/>
      <c r="LIN23" s="623"/>
      <c r="LIO23" s="623"/>
      <c r="LIP23" s="623"/>
      <c r="LIQ23" s="623"/>
      <c r="LIR23" s="623"/>
      <c r="LIS23" s="623"/>
      <c r="LIT23" s="623"/>
      <c r="LIU23" s="623"/>
      <c r="LIV23" s="623"/>
      <c r="LIW23" s="623"/>
      <c r="LIX23" s="623"/>
      <c r="LIY23" s="623"/>
      <c r="LIZ23" s="623"/>
      <c r="LJA23" s="623"/>
      <c r="LJB23" s="623"/>
      <c r="LJC23" s="623"/>
      <c r="LJD23" s="623"/>
      <c r="LJE23" s="623"/>
      <c r="LJF23" s="623"/>
      <c r="LJG23" s="623"/>
      <c r="LJH23" s="623"/>
      <c r="LJI23" s="623"/>
      <c r="LJJ23" s="623"/>
      <c r="LJK23" s="623"/>
      <c r="LJL23" s="623"/>
      <c r="LJM23" s="623"/>
      <c r="LJN23" s="623"/>
      <c r="LJO23" s="623"/>
      <c r="LJP23" s="623"/>
      <c r="LJQ23" s="623"/>
      <c r="LJR23" s="623"/>
      <c r="LJS23" s="623"/>
      <c r="LJT23" s="623"/>
      <c r="LJU23" s="623"/>
      <c r="LJV23" s="623"/>
      <c r="LJW23" s="623"/>
      <c r="LJX23" s="623"/>
      <c r="LJY23" s="623"/>
      <c r="LJZ23" s="623"/>
      <c r="LKA23" s="623"/>
      <c r="LKB23" s="623"/>
      <c r="LKC23" s="623"/>
      <c r="LKD23" s="623"/>
      <c r="LKE23" s="623"/>
      <c r="LKF23" s="623"/>
      <c r="LKG23" s="623"/>
      <c r="LKH23" s="623"/>
      <c r="LKI23" s="623"/>
      <c r="LKJ23" s="623"/>
      <c r="LKK23" s="623"/>
      <c r="LKL23" s="623"/>
      <c r="LKM23" s="623"/>
      <c r="LKN23" s="623"/>
      <c r="LKO23" s="623"/>
      <c r="LKP23" s="623"/>
      <c r="LKQ23" s="623"/>
      <c r="LKR23" s="623"/>
      <c r="LKS23" s="623"/>
      <c r="LKT23" s="623"/>
      <c r="LKU23" s="623"/>
      <c r="LKV23" s="623"/>
      <c r="LKW23" s="623"/>
      <c r="LKX23" s="623"/>
      <c r="LKY23" s="623"/>
      <c r="LKZ23" s="623"/>
      <c r="LLA23" s="623"/>
      <c r="LLB23" s="623"/>
      <c r="LLC23" s="623"/>
      <c r="LLD23" s="623"/>
      <c r="LLE23" s="623"/>
      <c r="LLF23" s="623"/>
      <c r="LLG23" s="623"/>
      <c r="LLH23" s="623"/>
      <c r="LLI23" s="623"/>
      <c r="LLJ23" s="623"/>
      <c r="LLK23" s="623"/>
      <c r="LLL23" s="623"/>
      <c r="LLM23" s="623"/>
      <c r="LLN23" s="623"/>
      <c r="LLO23" s="623"/>
      <c r="LLP23" s="623"/>
      <c r="LLQ23" s="623"/>
      <c r="LLR23" s="623"/>
      <c r="LLS23" s="623"/>
      <c r="LLT23" s="623"/>
      <c r="LLU23" s="623"/>
      <c r="LLV23" s="623"/>
      <c r="LLW23" s="623"/>
      <c r="LLX23" s="623"/>
      <c r="LLY23" s="623"/>
      <c r="LLZ23" s="623"/>
      <c r="LMA23" s="623"/>
      <c r="LMB23" s="623"/>
      <c r="LMC23" s="623"/>
      <c r="LMD23" s="623"/>
      <c r="LME23" s="623"/>
      <c r="LMF23" s="623"/>
      <c r="LMG23" s="623"/>
      <c r="LMH23" s="623"/>
      <c r="LMI23" s="623"/>
      <c r="LMJ23" s="623"/>
      <c r="LMK23" s="623"/>
      <c r="LML23" s="623"/>
      <c r="LMM23" s="623"/>
      <c r="LMN23" s="623"/>
      <c r="LMO23" s="623"/>
      <c r="LMP23" s="623"/>
      <c r="LMQ23" s="623"/>
      <c r="LMR23" s="623"/>
      <c r="LMS23" s="623"/>
      <c r="LMT23" s="623"/>
      <c r="LMU23" s="623"/>
      <c r="LMV23" s="623"/>
      <c r="LMW23" s="623"/>
      <c r="LMX23" s="623"/>
      <c r="LMY23" s="623"/>
      <c r="LMZ23" s="623"/>
      <c r="LNA23" s="623"/>
      <c r="LNB23" s="623"/>
      <c r="LNC23" s="623"/>
      <c r="LND23" s="623"/>
      <c r="LNE23" s="623"/>
      <c r="LNF23" s="623"/>
      <c r="LNG23" s="623"/>
      <c r="LNH23" s="623"/>
      <c r="LNI23" s="623"/>
      <c r="LNJ23" s="623"/>
      <c r="LNK23" s="623"/>
      <c r="LNL23" s="623"/>
      <c r="LNM23" s="623"/>
      <c r="LNN23" s="623"/>
      <c r="LNO23" s="623"/>
      <c r="LNP23" s="623"/>
      <c r="LNQ23" s="623"/>
      <c r="LNR23" s="623"/>
      <c r="LNS23" s="623"/>
      <c r="LNT23" s="623"/>
      <c r="LNU23" s="623"/>
      <c r="LNV23" s="623"/>
      <c r="LNW23" s="623"/>
      <c r="LNX23" s="623"/>
      <c r="LNY23" s="623"/>
      <c r="LNZ23" s="623"/>
      <c r="LOA23" s="623"/>
      <c r="LOB23" s="623"/>
      <c r="LOC23" s="623"/>
      <c r="LOD23" s="623"/>
      <c r="LOE23" s="623"/>
      <c r="LOF23" s="623"/>
      <c r="LOG23" s="623"/>
      <c r="LOH23" s="623"/>
      <c r="LOI23" s="623"/>
      <c r="LOJ23" s="623"/>
      <c r="LOK23" s="623"/>
      <c r="LOL23" s="623"/>
      <c r="LOM23" s="623"/>
      <c r="LON23" s="623"/>
      <c r="LOO23" s="623"/>
      <c r="LOP23" s="623"/>
      <c r="LOQ23" s="623"/>
      <c r="LOR23" s="623"/>
      <c r="LOS23" s="623"/>
      <c r="LOT23" s="623"/>
      <c r="LOU23" s="623"/>
      <c r="LOV23" s="623"/>
      <c r="LOW23" s="623"/>
      <c r="LOX23" s="623"/>
      <c r="LOY23" s="623"/>
      <c r="LOZ23" s="623"/>
      <c r="LPA23" s="623"/>
      <c r="LPB23" s="623"/>
      <c r="LPC23" s="623"/>
      <c r="LPD23" s="623"/>
      <c r="LPE23" s="623"/>
      <c r="LPF23" s="623"/>
      <c r="LPG23" s="623"/>
      <c r="LPH23" s="623"/>
      <c r="LPI23" s="623"/>
      <c r="LPJ23" s="623"/>
      <c r="LPK23" s="623"/>
      <c r="LPL23" s="623"/>
      <c r="LPM23" s="623"/>
      <c r="LPN23" s="623"/>
      <c r="LPO23" s="623"/>
      <c r="LPP23" s="623"/>
      <c r="LPQ23" s="623"/>
      <c r="LPR23" s="623"/>
      <c r="LPS23" s="623"/>
      <c r="LPT23" s="623"/>
      <c r="LPU23" s="623"/>
      <c r="LPV23" s="623"/>
      <c r="LPW23" s="623"/>
      <c r="LPX23" s="623"/>
      <c r="LPY23" s="623"/>
      <c r="LPZ23" s="623"/>
      <c r="LQA23" s="623"/>
      <c r="LQB23" s="623"/>
      <c r="LQC23" s="623"/>
      <c r="LQD23" s="623"/>
      <c r="LQE23" s="623"/>
      <c r="LQF23" s="623"/>
      <c r="LQG23" s="623"/>
      <c r="LQH23" s="623"/>
      <c r="LQI23" s="623"/>
      <c r="LQJ23" s="623"/>
      <c r="LQK23" s="623"/>
      <c r="LQL23" s="623"/>
      <c r="LQM23" s="623"/>
      <c r="LQN23" s="623"/>
      <c r="LQO23" s="623"/>
      <c r="LQP23" s="623"/>
      <c r="LQQ23" s="623"/>
      <c r="LQR23" s="623"/>
      <c r="LQS23" s="623"/>
      <c r="LQT23" s="623"/>
      <c r="LQU23" s="623"/>
      <c r="LQV23" s="623"/>
      <c r="LQW23" s="623"/>
      <c r="LQX23" s="623"/>
      <c r="LQY23" s="623"/>
      <c r="LQZ23" s="623"/>
      <c r="LRA23" s="623"/>
      <c r="LRB23" s="623"/>
      <c r="LRC23" s="623"/>
      <c r="LRD23" s="623"/>
      <c r="LRE23" s="623"/>
      <c r="LRF23" s="623"/>
      <c r="LRG23" s="623"/>
      <c r="LRH23" s="623"/>
      <c r="LRI23" s="623"/>
      <c r="LRJ23" s="623"/>
      <c r="LRK23" s="623"/>
      <c r="LRL23" s="623"/>
      <c r="LRM23" s="623"/>
      <c r="LRN23" s="623"/>
      <c r="LRO23" s="623"/>
      <c r="LRP23" s="623"/>
      <c r="LRQ23" s="623"/>
      <c r="LRR23" s="623"/>
      <c r="LRS23" s="623"/>
      <c r="LRT23" s="623"/>
      <c r="LRU23" s="623"/>
      <c r="LRV23" s="623"/>
      <c r="LRW23" s="623"/>
      <c r="LRX23" s="623"/>
      <c r="LRY23" s="623"/>
      <c r="LRZ23" s="623"/>
      <c r="LSA23" s="623"/>
      <c r="LSB23" s="623"/>
      <c r="LSC23" s="623"/>
      <c r="LSD23" s="623"/>
      <c r="LSE23" s="623"/>
      <c r="LSF23" s="623"/>
      <c r="LSG23" s="623"/>
      <c r="LSH23" s="623"/>
      <c r="LSI23" s="623"/>
      <c r="LSJ23" s="623"/>
      <c r="LSK23" s="623"/>
      <c r="LSL23" s="623"/>
      <c r="LSM23" s="623"/>
      <c r="LSN23" s="623"/>
      <c r="LSO23" s="623"/>
      <c r="LSP23" s="623"/>
      <c r="LSQ23" s="623"/>
      <c r="LSR23" s="623"/>
      <c r="LSS23" s="623"/>
      <c r="LST23" s="623"/>
      <c r="LSU23" s="623"/>
      <c r="LSV23" s="623"/>
      <c r="LSW23" s="623"/>
      <c r="LSX23" s="623"/>
      <c r="LSY23" s="623"/>
      <c r="LSZ23" s="623"/>
      <c r="LTA23" s="623"/>
      <c r="LTB23" s="623"/>
      <c r="LTC23" s="623"/>
      <c r="LTD23" s="623"/>
      <c r="LTE23" s="623"/>
      <c r="LTF23" s="623"/>
      <c r="LTG23" s="623"/>
      <c r="LTH23" s="623"/>
      <c r="LTI23" s="623"/>
      <c r="LTJ23" s="623"/>
      <c r="LTK23" s="623"/>
      <c r="LTL23" s="623"/>
      <c r="LTM23" s="623"/>
      <c r="LTN23" s="623"/>
      <c r="LTO23" s="623"/>
      <c r="LTP23" s="623"/>
      <c r="LTQ23" s="623"/>
      <c r="LTR23" s="623"/>
      <c r="LTS23" s="623"/>
      <c r="LTT23" s="623"/>
      <c r="LTU23" s="623"/>
      <c r="LTV23" s="623"/>
      <c r="LTW23" s="623"/>
      <c r="LTX23" s="623"/>
      <c r="LTY23" s="623"/>
      <c r="LTZ23" s="623"/>
      <c r="LUA23" s="623"/>
      <c r="LUB23" s="623"/>
      <c r="LUC23" s="623"/>
      <c r="LUD23" s="623"/>
      <c r="LUE23" s="623"/>
      <c r="LUF23" s="623"/>
      <c r="LUG23" s="623"/>
      <c r="LUH23" s="623"/>
      <c r="LUI23" s="623"/>
      <c r="LUJ23" s="623"/>
      <c r="LUK23" s="623"/>
      <c r="LUL23" s="623"/>
      <c r="LUM23" s="623"/>
      <c r="LUN23" s="623"/>
      <c r="LUO23" s="623"/>
      <c r="LUP23" s="623"/>
      <c r="LUQ23" s="623"/>
      <c r="LUR23" s="623"/>
      <c r="LUS23" s="623"/>
      <c r="LUT23" s="623"/>
      <c r="LUU23" s="623"/>
      <c r="LUV23" s="623"/>
      <c r="LUW23" s="623"/>
      <c r="LUX23" s="623"/>
      <c r="LUY23" s="623"/>
      <c r="LUZ23" s="623"/>
      <c r="LVA23" s="623"/>
      <c r="LVB23" s="623"/>
      <c r="LVC23" s="623"/>
      <c r="LVD23" s="623"/>
      <c r="LVE23" s="623"/>
      <c r="LVF23" s="623"/>
      <c r="LVG23" s="623"/>
      <c r="LVH23" s="623"/>
      <c r="LVI23" s="623"/>
      <c r="LVJ23" s="623"/>
      <c r="LVK23" s="623"/>
      <c r="LVL23" s="623"/>
      <c r="LVM23" s="623"/>
      <c r="LVN23" s="623"/>
      <c r="LVO23" s="623"/>
      <c r="LVP23" s="623"/>
      <c r="LVQ23" s="623"/>
      <c r="LVR23" s="623"/>
      <c r="LVS23" s="623"/>
      <c r="LVT23" s="623"/>
      <c r="LVU23" s="623"/>
      <c r="LVV23" s="623"/>
      <c r="LVW23" s="623"/>
      <c r="LVX23" s="623"/>
      <c r="LVY23" s="623"/>
      <c r="LVZ23" s="623"/>
      <c r="LWA23" s="623"/>
      <c r="LWB23" s="623"/>
      <c r="LWC23" s="623"/>
      <c r="LWD23" s="623"/>
      <c r="LWE23" s="623"/>
      <c r="LWF23" s="623"/>
      <c r="LWG23" s="623"/>
      <c r="LWH23" s="623"/>
      <c r="LWI23" s="623"/>
      <c r="LWJ23" s="623"/>
      <c r="LWK23" s="623"/>
      <c r="LWL23" s="623"/>
      <c r="LWM23" s="623"/>
      <c r="LWN23" s="623"/>
      <c r="LWO23" s="623"/>
      <c r="LWP23" s="623"/>
      <c r="LWQ23" s="623"/>
      <c r="LWR23" s="623"/>
      <c r="LWS23" s="623"/>
      <c r="LWT23" s="623"/>
      <c r="LWU23" s="623"/>
      <c r="LWV23" s="623"/>
      <c r="LWW23" s="623"/>
      <c r="LWX23" s="623"/>
      <c r="LWY23" s="623"/>
      <c r="LWZ23" s="623"/>
      <c r="LXA23" s="623"/>
      <c r="LXB23" s="623"/>
      <c r="LXC23" s="623"/>
      <c r="LXD23" s="623"/>
      <c r="LXE23" s="623"/>
      <c r="LXF23" s="623"/>
      <c r="LXG23" s="623"/>
      <c r="LXH23" s="623"/>
      <c r="LXI23" s="623"/>
      <c r="LXJ23" s="623"/>
      <c r="LXK23" s="623"/>
      <c r="LXL23" s="623"/>
      <c r="LXM23" s="623"/>
      <c r="LXN23" s="623"/>
      <c r="LXO23" s="623"/>
      <c r="LXP23" s="623"/>
      <c r="LXQ23" s="623"/>
      <c r="LXR23" s="623"/>
      <c r="LXS23" s="623"/>
      <c r="LXT23" s="623"/>
      <c r="LXU23" s="623"/>
      <c r="LXV23" s="623"/>
      <c r="LXW23" s="623"/>
      <c r="LXX23" s="623"/>
      <c r="LXY23" s="623"/>
      <c r="LXZ23" s="623"/>
      <c r="LYA23" s="623"/>
      <c r="LYB23" s="623"/>
      <c r="LYC23" s="623"/>
      <c r="LYD23" s="623"/>
      <c r="LYE23" s="623"/>
      <c r="LYF23" s="623"/>
      <c r="LYG23" s="623"/>
      <c r="LYH23" s="623"/>
      <c r="LYI23" s="623"/>
      <c r="LYJ23" s="623"/>
      <c r="LYK23" s="623"/>
      <c r="LYL23" s="623"/>
      <c r="LYM23" s="623"/>
      <c r="LYN23" s="623"/>
      <c r="LYO23" s="623"/>
      <c r="LYP23" s="623"/>
      <c r="LYQ23" s="623"/>
      <c r="LYR23" s="623"/>
      <c r="LYS23" s="623"/>
      <c r="LYT23" s="623"/>
      <c r="LYU23" s="623"/>
      <c r="LYV23" s="623"/>
      <c r="LYW23" s="623"/>
      <c r="LYX23" s="623"/>
      <c r="LYY23" s="623"/>
      <c r="LYZ23" s="623"/>
      <c r="LZA23" s="623"/>
      <c r="LZB23" s="623"/>
      <c r="LZC23" s="623"/>
      <c r="LZD23" s="623"/>
      <c r="LZE23" s="623"/>
      <c r="LZF23" s="623"/>
      <c r="LZG23" s="623"/>
      <c r="LZH23" s="623"/>
      <c r="LZI23" s="623"/>
      <c r="LZJ23" s="623"/>
      <c r="LZK23" s="623"/>
      <c r="LZL23" s="623"/>
      <c r="LZM23" s="623"/>
      <c r="LZN23" s="623"/>
      <c r="LZO23" s="623"/>
      <c r="LZP23" s="623"/>
      <c r="LZQ23" s="623"/>
      <c r="LZR23" s="623"/>
      <c r="LZS23" s="623"/>
      <c r="LZT23" s="623"/>
      <c r="LZU23" s="623"/>
      <c r="LZV23" s="623"/>
      <c r="LZW23" s="623"/>
      <c r="LZX23" s="623"/>
      <c r="LZY23" s="623"/>
      <c r="LZZ23" s="623"/>
      <c r="MAA23" s="623"/>
      <c r="MAB23" s="623"/>
      <c r="MAC23" s="623"/>
      <c r="MAD23" s="623"/>
      <c r="MAE23" s="623"/>
      <c r="MAF23" s="623"/>
      <c r="MAG23" s="623"/>
      <c r="MAH23" s="623"/>
      <c r="MAI23" s="623"/>
      <c r="MAJ23" s="623"/>
      <c r="MAK23" s="623"/>
      <c r="MAL23" s="623"/>
      <c r="MAM23" s="623"/>
      <c r="MAN23" s="623"/>
      <c r="MAO23" s="623"/>
      <c r="MAP23" s="623"/>
      <c r="MAQ23" s="623"/>
      <c r="MAR23" s="623"/>
      <c r="MAS23" s="623"/>
      <c r="MAT23" s="623"/>
      <c r="MAU23" s="623"/>
      <c r="MAV23" s="623"/>
      <c r="MAW23" s="623"/>
      <c r="MAX23" s="623"/>
      <c r="MAY23" s="623"/>
      <c r="MAZ23" s="623"/>
      <c r="MBA23" s="623"/>
      <c r="MBB23" s="623"/>
      <c r="MBC23" s="623"/>
      <c r="MBD23" s="623"/>
      <c r="MBE23" s="623"/>
      <c r="MBF23" s="623"/>
      <c r="MBG23" s="623"/>
      <c r="MBH23" s="623"/>
      <c r="MBI23" s="623"/>
      <c r="MBJ23" s="623"/>
      <c r="MBK23" s="623"/>
      <c r="MBL23" s="623"/>
      <c r="MBM23" s="623"/>
      <c r="MBN23" s="623"/>
      <c r="MBO23" s="623"/>
      <c r="MBP23" s="623"/>
      <c r="MBQ23" s="623"/>
      <c r="MBR23" s="623"/>
      <c r="MBS23" s="623"/>
      <c r="MBT23" s="623"/>
      <c r="MBU23" s="623"/>
      <c r="MBV23" s="623"/>
      <c r="MBW23" s="623"/>
      <c r="MBX23" s="623"/>
      <c r="MBY23" s="623"/>
      <c r="MBZ23" s="623"/>
      <c r="MCA23" s="623"/>
      <c r="MCB23" s="623"/>
      <c r="MCC23" s="623"/>
      <c r="MCD23" s="623"/>
      <c r="MCE23" s="623"/>
      <c r="MCF23" s="623"/>
      <c r="MCG23" s="623"/>
      <c r="MCH23" s="623"/>
      <c r="MCI23" s="623"/>
      <c r="MCJ23" s="623"/>
      <c r="MCK23" s="623"/>
      <c r="MCL23" s="623"/>
      <c r="MCM23" s="623"/>
      <c r="MCN23" s="623"/>
      <c r="MCO23" s="623"/>
      <c r="MCP23" s="623"/>
      <c r="MCQ23" s="623"/>
      <c r="MCR23" s="623"/>
      <c r="MCS23" s="623"/>
      <c r="MCT23" s="623"/>
      <c r="MCU23" s="623"/>
      <c r="MCV23" s="623"/>
      <c r="MCW23" s="623"/>
      <c r="MCX23" s="623"/>
      <c r="MCY23" s="623"/>
      <c r="MCZ23" s="623"/>
      <c r="MDA23" s="623"/>
      <c r="MDB23" s="623"/>
      <c r="MDC23" s="623"/>
      <c r="MDD23" s="623"/>
      <c r="MDE23" s="623"/>
      <c r="MDF23" s="623"/>
      <c r="MDG23" s="623"/>
      <c r="MDH23" s="623"/>
      <c r="MDI23" s="623"/>
      <c r="MDJ23" s="623"/>
      <c r="MDK23" s="623"/>
      <c r="MDL23" s="623"/>
      <c r="MDM23" s="623"/>
      <c r="MDN23" s="623"/>
      <c r="MDO23" s="623"/>
      <c r="MDP23" s="623"/>
      <c r="MDQ23" s="623"/>
      <c r="MDR23" s="623"/>
      <c r="MDS23" s="623"/>
      <c r="MDT23" s="623"/>
      <c r="MDU23" s="623"/>
      <c r="MDV23" s="623"/>
      <c r="MDW23" s="623"/>
      <c r="MDX23" s="623"/>
      <c r="MDY23" s="623"/>
      <c r="MDZ23" s="623"/>
      <c r="MEA23" s="623"/>
      <c r="MEB23" s="623"/>
      <c r="MEC23" s="623"/>
      <c r="MED23" s="623"/>
      <c r="MEE23" s="623"/>
      <c r="MEF23" s="623"/>
      <c r="MEG23" s="623"/>
      <c r="MEH23" s="623"/>
      <c r="MEI23" s="623"/>
      <c r="MEJ23" s="623"/>
      <c r="MEK23" s="623"/>
      <c r="MEL23" s="623"/>
      <c r="MEM23" s="623"/>
      <c r="MEN23" s="623"/>
      <c r="MEO23" s="623"/>
      <c r="MEP23" s="623"/>
      <c r="MEQ23" s="623"/>
      <c r="MER23" s="623"/>
      <c r="MES23" s="623"/>
      <c r="MET23" s="623"/>
      <c r="MEU23" s="623"/>
      <c r="MEV23" s="623"/>
      <c r="MEW23" s="623"/>
      <c r="MEX23" s="623"/>
      <c r="MEY23" s="623"/>
      <c r="MEZ23" s="623"/>
      <c r="MFA23" s="623"/>
      <c r="MFB23" s="623"/>
      <c r="MFC23" s="623"/>
      <c r="MFD23" s="623"/>
      <c r="MFE23" s="623"/>
      <c r="MFF23" s="623"/>
      <c r="MFG23" s="623"/>
      <c r="MFH23" s="623"/>
      <c r="MFI23" s="623"/>
      <c r="MFJ23" s="623"/>
      <c r="MFK23" s="623"/>
      <c r="MFL23" s="623"/>
      <c r="MFM23" s="623"/>
      <c r="MFN23" s="623"/>
      <c r="MFO23" s="623"/>
      <c r="MFP23" s="623"/>
      <c r="MFQ23" s="623"/>
      <c r="MFR23" s="623"/>
      <c r="MFS23" s="623"/>
      <c r="MFT23" s="623"/>
      <c r="MFU23" s="623"/>
      <c r="MFV23" s="623"/>
      <c r="MFW23" s="623"/>
      <c r="MFX23" s="623"/>
      <c r="MFY23" s="623"/>
      <c r="MFZ23" s="623"/>
      <c r="MGA23" s="623"/>
      <c r="MGB23" s="623"/>
      <c r="MGC23" s="623"/>
      <c r="MGD23" s="623"/>
      <c r="MGE23" s="623"/>
      <c r="MGF23" s="623"/>
      <c r="MGG23" s="623"/>
      <c r="MGH23" s="623"/>
      <c r="MGI23" s="623"/>
      <c r="MGJ23" s="623"/>
      <c r="MGK23" s="623"/>
      <c r="MGL23" s="623"/>
      <c r="MGM23" s="623"/>
      <c r="MGN23" s="623"/>
      <c r="MGO23" s="623"/>
      <c r="MGP23" s="623"/>
      <c r="MGQ23" s="623"/>
      <c r="MGR23" s="623"/>
      <c r="MGS23" s="623"/>
      <c r="MGT23" s="623"/>
      <c r="MGU23" s="623"/>
      <c r="MGV23" s="623"/>
      <c r="MGW23" s="623"/>
      <c r="MGX23" s="623"/>
      <c r="MGY23" s="623"/>
      <c r="MGZ23" s="623"/>
      <c r="MHA23" s="623"/>
      <c r="MHB23" s="623"/>
      <c r="MHC23" s="623"/>
      <c r="MHD23" s="623"/>
      <c r="MHE23" s="623"/>
      <c r="MHF23" s="623"/>
      <c r="MHG23" s="623"/>
      <c r="MHH23" s="623"/>
      <c r="MHI23" s="623"/>
      <c r="MHJ23" s="623"/>
      <c r="MHK23" s="623"/>
      <c r="MHL23" s="623"/>
      <c r="MHM23" s="623"/>
      <c r="MHN23" s="623"/>
      <c r="MHO23" s="623"/>
      <c r="MHP23" s="623"/>
      <c r="MHQ23" s="623"/>
      <c r="MHR23" s="623"/>
      <c r="MHS23" s="623"/>
      <c r="MHT23" s="623"/>
      <c r="MHU23" s="623"/>
      <c r="MHV23" s="623"/>
      <c r="MHW23" s="623"/>
      <c r="MHX23" s="623"/>
      <c r="MHY23" s="623"/>
      <c r="MHZ23" s="623"/>
      <c r="MIA23" s="623"/>
      <c r="MIB23" s="623"/>
      <c r="MIC23" s="623"/>
      <c r="MID23" s="623"/>
      <c r="MIE23" s="623"/>
      <c r="MIF23" s="623"/>
      <c r="MIG23" s="623"/>
      <c r="MIH23" s="623"/>
      <c r="MII23" s="623"/>
      <c r="MIJ23" s="623"/>
      <c r="MIK23" s="623"/>
      <c r="MIL23" s="623"/>
      <c r="MIM23" s="623"/>
      <c r="MIN23" s="623"/>
      <c r="MIO23" s="623"/>
      <c r="MIP23" s="623"/>
      <c r="MIQ23" s="623"/>
      <c r="MIR23" s="623"/>
      <c r="MIS23" s="623"/>
      <c r="MIT23" s="623"/>
      <c r="MIU23" s="623"/>
      <c r="MIV23" s="623"/>
      <c r="MIW23" s="623"/>
      <c r="MIX23" s="623"/>
      <c r="MIY23" s="623"/>
      <c r="MIZ23" s="623"/>
      <c r="MJA23" s="623"/>
      <c r="MJB23" s="623"/>
      <c r="MJC23" s="623"/>
      <c r="MJD23" s="623"/>
      <c r="MJE23" s="623"/>
      <c r="MJF23" s="623"/>
      <c r="MJG23" s="623"/>
      <c r="MJH23" s="623"/>
      <c r="MJI23" s="623"/>
      <c r="MJJ23" s="623"/>
      <c r="MJK23" s="623"/>
      <c r="MJL23" s="623"/>
      <c r="MJM23" s="623"/>
      <c r="MJN23" s="623"/>
      <c r="MJO23" s="623"/>
      <c r="MJP23" s="623"/>
      <c r="MJQ23" s="623"/>
      <c r="MJR23" s="623"/>
      <c r="MJS23" s="623"/>
      <c r="MJT23" s="623"/>
      <c r="MJU23" s="623"/>
      <c r="MJV23" s="623"/>
      <c r="MJW23" s="623"/>
      <c r="MJX23" s="623"/>
      <c r="MJY23" s="623"/>
      <c r="MJZ23" s="623"/>
      <c r="MKA23" s="623"/>
      <c r="MKB23" s="623"/>
      <c r="MKC23" s="623"/>
      <c r="MKD23" s="623"/>
      <c r="MKE23" s="623"/>
      <c r="MKF23" s="623"/>
      <c r="MKG23" s="623"/>
      <c r="MKH23" s="623"/>
      <c r="MKI23" s="623"/>
      <c r="MKJ23" s="623"/>
      <c r="MKK23" s="623"/>
      <c r="MKL23" s="623"/>
      <c r="MKM23" s="623"/>
      <c r="MKN23" s="623"/>
      <c r="MKO23" s="623"/>
      <c r="MKP23" s="623"/>
      <c r="MKQ23" s="623"/>
      <c r="MKR23" s="623"/>
      <c r="MKS23" s="623"/>
      <c r="MKT23" s="623"/>
      <c r="MKU23" s="623"/>
      <c r="MKV23" s="623"/>
      <c r="MKW23" s="623"/>
      <c r="MKX23" s="623"/>
      <c r="MKY23" s="623"/>
      <c r="MKZ23" s="623"/>
      <c r="MLA23" s="623"/>
      <c r="MLB23" s="623"/>
      <c r="MLC23" s="623"/>
      <c r="MLD23" s="623"/>
      <c r="MLE23" s="623"/>
      <c r="MLF23" s="623"/>
      <c r="MLG23" s="623"/>
      <c r="MLH23" s="623"/>
      <c r="MLI23" s="623"/>
      <c r="MLJ23" s="623"/>
      <c r="MLK23" s="623"/>
      <c r="MLL23" s="623"/>
      <c r="MLM23" s="623"/>
      <c r="MLN23" s="623"/>
      <c r="MLO23" s="623"/>
      <c r="MLP23" s="623"/>
      <c r="MLQ23" s="623"/>
      <c r="MLR23" s="623"/>
      <c r="MLS23" s="623"/>
      <c r="MLT23" s="623"/>
      <c r="MLU23" s="623"/>
      <c r="MLV23" s="623"/>
      <c r="MLW23" s="623"/>
      <c r="MLX23" s="623"/>
      <c r="MLY23" s="623"/>
      <c r="MLZ23" s="623"/>
      <c r="MMA23" s="623"/>
      <c r="MMB23" s="623"/>
      <c r="MMC23" s="623"/>
      <c r="MMD23" s="623"/>
      <c r="MME23" s="623"/>
      <c r="MMF23" s="623"/>
      <c r="MMG23" s="623"/>
      <c r="MMH23" s="623"/>
      <c r="MMI23" s="623"/>
      <c r="MMJ23" s="623"/>
      <c r="MMK23" s="623"/>
      <c r="MML23" s="623"/>
      <c r="MMM23" s="623"/>
      <c r="MMN23" s="623"/>
      <c r="MMO23" s="623"/>
      <c r="MMP23" s="623"/>
      <c r="MMQ23" s="623"/>
      <c r="MMR23" s="623"/>
      <c r="MMS23" s="623"/>
      <c r="MMT23" s="623"/>
      <c r="MMU23" s="623"/>
      <c r="MMV23" s="623"/>
      <c r="MMW23" s="623"/>
      <c r="MMX23" s="623"/>
      <c r="MMY23" s="623"/>
      <c r="MMZ23" s="623"/>
      <c r="MNA23" s="623"/>
      <c r="MNB23" s="623"/>
      <c r="MNC23" s="623"/>
      <c r="MND23" s="623"/>
      <c r="MNE23" s="623"/>
      <c r="MNF23" s="623"/>
      <c r="MNG23" s="623"/>
      <c r="MNH23" s="623"/>
      <c r="MNI23" s="623"/>
      <c r="MNJ23" s="623"/>
      <c r="MNK23" s="623"/>
      <c r="MNL23" s="623"/>
      <c r="MNM23" s="623"/>
      <c r="MNN23" s="623"/>
      <c r="MNO23" s="623"/>
      <c r="MNP23" s="623"/>
      <c r="MNQ23" s="623"/>
      <c r="MNR23" s="623"/>
      <c r="MNS23" s="623"/>
      <c r="MNT23" s="623"/>
      <c r="MNU23" s="623"/>
      <c r="MNV23" s="623"/>
      <c r="MNW23" s="623"/>
      <c r="MNX23" s="623"/>
      <c r="MNY23" s="623"/>
      <c r="MNZ23" s="623"/>
      <c r="MOA23" s="623"/>
      <c r="MOB23" s="623"/>
      <c r="MOC23" s="623"/>
      <c r="MOD23" s="623"/>
      <c r="MOE23" s="623"/>
      <c r="MOF23" s="623"/>
      <c r="MOG23" s="623"/>
      <c r="MOH23" s="623"/>
      <c r="MOI23" s="623"/>
      <c r="MOJ23" s="623"/>
      <c r="MOK23" s="623"/>
      <c r="MOL23" s="623"/>
      <c r="MOM23" s="623"/>
      <c r="MON23" s="623"/>
      <c r="MOO23" s="623"/>
      <c r="MOP23" s="623"/>
      <c r="MOQ23" s="623"/>
      <c r="MOR23" s="623"/>
      <c r="MOS23" s="623"/>
      <c r="MOT23" s="623"/>
      <c r="MOU23" s="623"/>
      <c r="MOV23" s="623"/>
      <c r="MOW23" s="623"/>
      <c r="MOX23" s="623"/>
      <c r="MOY23" s="623"/>
      <c r="MOZ23" s="623"/>
      <c r="MPA23" s="623"/>
      <c r="MPB23" s="623"/>
      <c r="MPC23" s="623"/>
      <c r="MPD23" s="623"/>
      <c r="MPE23" s="623"/>
      <c r="MPF23" s="623"/>
      <c r="MPG23" s="623"/>
      <c r="MPH23" s="623"/>
      <c r="MPI23" s="623"/>
      <c r="MPJ23" s="623"/>
      <c r="MPK23" s="623"/>
      <c r="MPL23" s="623"/>
      <c r="MPM23" s="623"/>
      <c r="MPN23" s="623"/>
      <c r="MPO23" s="623"/>
      <c r="MPP23" s="623"/>
      <c r="MPQ23" s="623"/>
      <c r="MPR23" s="623"/>
      <c r="MPS23" s="623"/>
      <c r="MPT23" s="623"/>
      <c r="MPU23" s="623"/>
      <c r="MPV23" s="623"/>
      <c r="MPW23" s="623"/>
      <c r="MPX23" s="623"/>
      <c r="MPY23" s="623"/>
      <c r="MPZ23" s="623"/>
      <c r="MQA23" s="623"/>
      <c r="MQB23" s="623"/>
      <c r="MQC23" s="623"/>
      <c r="MQD23" s="623"/>
      <c r="MQE23" s="623"/>
      <c r="MQF23" s="623"/>
      <c r="MQG23" s="623"/>
      <c r="MQH23" s="623"/>
      <c r="MQI23" s="623"/>
      <c r="MQJ23" s="623"/>
      <c r="MQK23" s="623"/>
      <c r="MQL23" s="623"/>
      <c r="MQM23" s="623"/>
      <c r="MQN23" s="623"/>
      <c r="MQO23" s="623"/>
      <c r="MQP23" s="623"/>
      <c r="MQQ23" s="623"/>
      <c r="MQR23" s="623"/>
      <c r="MQS23" s="623"/>
      <c r="MQT23" s="623"/>
      <c r="MQU23" s="623"/>
      <c r="MQV23" s="623"/>
      <c r="MQW23" s="623"/>
      <c r="MQX23" s="623"/>
      <c r="MQY23" s="623"/>
      <c r="MQZ23" s="623"/>
      <c r="MRA23" s="623"/>
      <c r="MRB23" s="623"/>
      <c r="MRC23" s="623"/>
      <c r="MRD23" s="623"/>
      <c r="MRE23" s="623"/>
      <c r="MRF23" s="623"/>
      <c r="MRG23" s="623"/>
      <c r="MRH23" s="623"/>
      <c r="MRI23" s="623"/>
      <c r="MRJ23" s="623"/>
      <c r="MRK23" s="623"/>
      <c r="MRL23" s="623"/>
      <c r="MRM23" s="623"/>
      <c r="MRN23" s="623"/>
      <c r="MRO23" s="623"/>
      <c r="MRP23" s="623"/>
      <c r="MRQ23" s="623"/>
      <c r="MRR23" s="623"/>
      <c r="MRS23" s="623"/>
      <c r="MRT23" s="623"/>
      <c r="MRU23" s="623"/>
      <c r="MRV23" s="623"/>
      <c r="MRW23" s="623"/>
      <c r="MRX23" s="623"/>
      <c r="MRY23" s="623"/>
      <c r="MRZ23" s="623"/>
      <c r="MSA23" s="623"/>
      <c r="MSB23" s="623"/>
      <c r="MSC23" s="623"/>
      <c r="MSD23" s="623"/>
      <c r="MSE23" s="623"/>
      <c r="MSF23" s="623"/>
      <c r="MSG23" s="623"/>
      <c r="MSH23" s="623"/>
      <c r="MSI23" s="623"/>
      <c r="MSJ23" s="623"/>
      <c r="MSK23" s="623"/>
      <c r="MSL23" s="623"/>
      <c r="MSM23" s="623"/>
      <c r="MSN23" s="623"/>
      <c r="MSO23" s="623"/>
      <c r="MSP23" s="623"/>
      <c r="MSQ23" s="623"/>
      <c r="MSR23" s="623"/>
      <c r="MSS23" s="623"/>
      <c r="MST23" s="623"/>
      <c r="MSU23" s="623"/>
      <c r="MSV23" s="623"/>
      <c r="MSW23" s="623"/>
      <c r="MSX23" s="623"/>
      <c r="MSY23" s="623"/>
      <c r="MSZ23" s="623"/>
      <c r="MTA23" s="623"/>
      <c r="MTB23" s="623"/>
      <c r="MTC23" s="623"/>
      <c r="MTD23" s="623"/>
      <c r="MTE23" s="623"/>
      <c r="MTF23" s="623"/>
      <c r="MTG23" s="623"/>
      <c r="MTH23" s="623"/>
      <c r="MTI23" s="623"/>
      <c r="MTJ23" s="623"/>
      <c r="MTK23" s="623"/>
      <c r="MTL23" s="623"/>
      <c r="MTM23" s="623"/>
      <c r="MTN23" s="623"/>
      <c r="MTO23" s="623"/>
      <c r="MTP23" s="623"/>
      <c r="MTQ23" s="623"/>
      <c r="MTR23" s="623"/>
      <c r="MTS23" s="623"/>
      <c r="MTT23" s="623"/>
      <c r="MTU23" s="623"/>
      <c r="MTV23" s="623"/>
      <c r="MTW23" s="623"/>
      <c r="MTX23" s="623"/>
      <c r="MTY23" s="623"/>
      <c r="MTZ23" s="623"/>
      <c r="MUA23" s="623"/>
      <c r="MUB23" s="623"/>
      <c r="MUC23" s="623"/>
      <c r="MUD23" s="623"/>
      <c r="MUE23" s="623"/>
      <c r="MUF23" s="623"/>
      <c r="MUG23" s="623"/>
      <c r="MUH23" s="623"/>
      <c r="MUI23" s="623"/>
      <c r="MUJ23" s="623"/>
      <c r="MUK23" s="623"/>
      <c r="MUL23" s="623"/>
      <c r="MUM23" s="623"/>
      <c r="MUN23" s="623"/>
      <c r="MUO23" s="623"/>
      <c r="MUP23" s="623"/>
      <c r="MUQ23" s="623"/>
      <c r="MUR23" s="623"/>
      <c r="MUS23" s="623"/>
      <c r="MUT23" s="623"/>
      <c r="MUU23" s="623"/>
      <c r="MUV23" s="623"/>
      <c r="MUW23" s="623"/>
      <c r="MUX23" s="623"/>
      <c r="MUY23" s="623"/>
      <c r="MUZ23" s="623"/>
      <c r="MVA23" s="623"/>
      <c r="MVB23" s="623"/>
      <c r="MVC23" s="623"/>
      <c r="MVD23" s="623"/>
      <c r="MVE23" s="623"/>
      <c r="MVF23" s="623"/>
      <c r="MVG23" s="623"/>
      <c r="MVH23" s="623"/>
      <c r="MVI23" s="623"/>
      <c r="MVJ23" s="623"/>
      <c r="MVK23" s="623"/>
      <c r="MVL23" s="623"/>
      <c r="MVM23" s="623"/>
      <c r="MVN23" s="623"/>
      <c r="MVO23" s="623"/>
      <c r="MVP23" s="623"/>
      <c r="MVQ23" s="623"/>
      <c r="MVR23" s="623"/>
      <c r="MVS23" s="623"/>
      <c r="MVT23" s="623"/>
      <c r="MVU23" s="623"/>
      <c r="MVV23" s="623"/>
      <c r="MVW23" s="623"/>
      <c r="MVX23" s="623"/>
      <c r="MVY23" s="623"/>
      <c r="MVZ23" s="623"/>
      <c r="MWA23" s="623"/>
      <c r="MWB23" s="623"/>
      <c r="MWC23" s="623"/>
      <c r="MWD23" s="623"/>
      <c r="MWE23" s="623"/>
      <c r="MWF23" s="623"/>
      <c r="MWG23" s="623"/>
      <c r="MWH23" s="623"/>
      <c r="MWI23" s="623"/>
      <c r="MWJ23" s="623"/>
      <c r="MWK23" s="623"/>
      <c r="MWL23" s="623"/>
      <c r="MWM23" s="623"/>
      <c r="MWN23" s="623"/>
      <c r="MWO23" s="623"/>
      <c r="MWP23" s="623"/>
      <c r="MWQ23" s="623"/>
      <c r="MWR23" s="623"/>
      <c r="MWS23" s="623"/>
      <c r="MWT23" s="623"/>
      <c r="MWU23" s="623"/>
      <c r="MWV23" s="623"/>
      <c r="MWW23" s="623"/>
      <c r="MWX23" s="623"/>
      <c r="MWY23" s="623"/>
      <c r="MWZ23" s="623"/>
      <c r="MXA23" s="623"/>
      <c r="MXB23" s="623"/>
      <c r="MXC23" s="623"/>
      <c r="MXD23" s="623"/>
      <c r="MXE23" s="623"/>
      <c r="MXF23" s="623"/>
      <c r="MXG23" s="623"/>
      <c r="MXH23" s="623"/>
      <c r="MXI23" s="623"/>
      <c r="MXJ23" s="623"/>
      <c r="MXK23" s="623"/>
      <c r="MXL23" s="623"/>
      <c r="MXM23" s="623"/>
      <c r="MXN23" s="623"/>
      <c r="MXO23" s="623"/>
      <c r="MXP23" s="623"/>
      <c r="MXQ23" s="623"/>
      <c r="MXR23" s="623"/>
      <c r="MXS23" s="623"/>
      <c r="MXT23" s="623"/>
      <c r="MXU23" s="623"/>
      <c r="MXV23" s="623"/>
      <c r="MXW23" s="623"/>
      <c r="MXX23" s="623"/>
      <c r="MXY23" s="623"/>
      <c r="MXZ23" s="623"/>
      <c r="MYA23" s="623"/>
      <c r="MYB23" s="623"/>
      <c r="MYC23" s="623"/>
      <c r="MYD23" s="623"/>
      <c r="MYE23" s="623"/>
      <c r="MYF23" s="623"/>
      <c r="MYG23" s="623"/>
      <c r="MYH23" s="623"/>
      <c r="MYI23" s="623"/>
      <c r="MYJ23" s="623"/>
      <c r="MYK23" s="623"/>
      <c r="MYL23" s="623"/>
      <c r="MYM23" s="623"/>
      <c r="MYN23" s="623"/>
      <c r="MYO23" s="623"/>
      <c r="MYP23" s="623"/>
      <c r="MYQ23" s="623"/>
      <c r="MYR23" s="623"/>
      <c r="MYS23" s="623"/>
      <c r="MYT23" s="623"/>
      <c r="MYU23" s="623"/>
      <c r="MYV23" s="623"/>
      <c r="MYW23" s="623"/>
      <c r="MYX23" s="623"/>
      <c r="MYY23" s="623"/>
      <c r="MYZ23" s="623"/>
      <c r="MZA23" s="623"/>
      <c r="MZB23" s="623"/>
      <c r="MZC23" s="623"/>
      <c r="MZD23" s="623"/>
      <c r="MZE23" s="623"/>
      <c r="MZF23" s="623"/>
      <c r="MZG23" s="623"/>
      <c r="MZH23" s="623"/>
      <c r="MZI23" s="623"/>
      <c r="MZJ23" s="623"/>
      <c r="MZK23" s="623"/>
      <c r="MZL23" s="623"/>
      <c r="MZM23" s="623"/>
      <c r="MZN23" s="623"/>
      <c r="MZO23" s="623"/>
      <c r="MZP23" s="623"/>
      <c r="MZQ23" s="623"/>
      <c r="MZR23" s="623"/>
      <c r="MZS23" s="623"/>
      <c r="MZT23" s="623"/>
      <c r="MZU23" s="623"/>
      <c r="MZV23" s="623"/>
      <c r="MZW23" s="623"/>
      <c r="MZX23" s="623"/>
      <c r="MZY23" s="623"/>
      <c r="MZZ23" s="623"/>
      <c r="NAA23" s="623"/>
      <c r="NAB23" s="623"/>
      <c r="NAC23" s="623"/>
      <c r="NAD23" s="623"/>
      <c r="NAE23" s="623"/>
      <c r="NAF23" s="623"/>
      <c r="NAG23" s="623"/>
      <c r="NAH23" s="623"/>
      <c r="NAI23" s="623"/>
      <c r="NAJ23" s="623"/>
      <c r="NAK23" s="623"/>
      <c r="NAL23" s="623"/>
      <c r="NAM23" s="623"/>
      <c r="NAN23" s="623"/>
      <c r="NAO23" s="623"/>
      <c r="NAP23" s="623"/>
      <c r="NAQ23" s="623"/>
      <c r="NAR23" s="623"/>
      <c r="NAS23" s="623"/>
      <c r="NAT23" s="623"/>
      <c r="NAU23" s="623"/>
      <c r="NAV23" s="623"/>
      <c r="NAW23" s="623"/>
      <c r="NAX23" s="623"/>
      <c r="NAY23" s="623"/>
      <c r="NAZ23" s="623"/>
      <c r="NBA23" s="623"/>
      <c r="NBB23" s="623"/>
      <c r="NBC23" s="623"/>
      <c r="NBD23" s="623"/>
      <c r="NBE23" s="623"/>
      <c r="NBF23" s="623"/>
      <c r="NBG23" s="623"/>
      <c r="NBH23" s="623"/>
      <c r="NBI23" s="623"/>
      <c r="NBJ23" s="623"/>
      <c r="NBK23" s="623"/>
      <c r="NBL23" s="623"/>
      <c r="NBM23" s="623"/>
      <c r="NBN23" s="623"/>
      <c r="NBO23" s="623"/>
      <c r="NBP23" s="623"/>
      <c r="NBQ23" s="623"/>
      <c r="NBR23" s="623"/>
      <c r="NBS23" s="623"/>
      <c r="NBT23" s="623"/>
      <c r="NBU23" s="623"/>
      <c r="NBV23" s="623"/>
      <c r="NBW23" s="623"/>
      <c r="NBX23" s="623"/>
      <c r="NBY23" s="623"/>
      <c r="NBZ23" s="623"/>
      <c r="NCA23" s="623"/>
      <c r="NCB23" s="623"/>
      <c r="NCC23" s="623"/>
      <c r="NCD23" s="623"/>
      <c r="NCE23" s="623"/>
      <c r="NCF23" s="623"/>
      <c r="NCG23" s="623"/>
      <c r="NCH23" s="623"/>
      <c r="NCI23" s="623"/>
      <c r="NCJ23" s="623"/>
      <c r="NCK23" s="623"/>
      <c r="NCL23" s="623"/>
      <c r="NCM23" s="623"/>
      <c r="NCN23" s="623"/>
      <c r="NCO23" s="623"/>
      <c r="NCP23" s="623"/>
      <c r="NCQ23" s="623"/>
      <c r="NCR23" s="623"/>
      <c r="NCS23" s="623"/>
      <c r="NCT23" s="623"/>
      <c r="NCU23" s="623"/>
      <c r="NCV23" s="623"/>
      <c r="NCW23" s="623"/>
      <c r="NCX23" s="623"/>
      <c r="NCY23" s="623"/>
      <c r="NCZ23" s="623"/>
      <c r="NDA23" s="623"/>
      <c r="NDB23" s="623"/>
      <c r="NDC23" s="623"/>
      <c r="NDD23" s="623"/>
      <c r="NDE23" s="623"/>
      <c r="NDF23" s="623"/>
      <c r="NDG23" s="623"/>
      <c r="NDH23" s="623"/>
      <c r="NDI23" s="623"/>
      <c r="NDJ23" s="623"/>
      <c r="NDK23" s="623"/>
      <c r="NDL23" s="623"/>
      <c r="NDM23" s="623"/>
      <c r="NDN23" s="623"/>
      <c r="NDO23" s="623"/>
      <c r="NDP23" s="623"/>
      <c r="NDQ23" s="623"/>
      <c r="NDR23" s="623"/>
      <c r="NDS23" s="623"/>
      <c r="NDT23" s="623"/>
      <c r="NDU23" s="623"/>
      <c r="NDV23" s="623"/>
      <c r="NDW23" s="623"/>
      <c r="NDX23" s="623"/>
      <c r="NDY23" s="623"/>
      <c r="NDZ23" s="623"/>
      <c r="NEA23" s="623"/>
      <c r="NEB23" s="623"/>
      <c r="NEC23" s="623"/>
      <c r="NED23" s="623"/>
      <c r="NEE23" s="623"/>
      <c r="NEF23" s="623"/>
      <c r="NEG23" s="623"/>
      <c r="NEH23" s="623"/>
      <c r="NEI23" s="623"/>
      <c r="NEJ23" s="623"/>
      <c r="NEK23" s="623"/>
      <c r="NEL23" s="623"/>
      <c r="NEM23" s="623"/>
      <c r="NEN23" s="623"/>
      <c r="NEO23" s="623"/>
      <c r="NEP23" s="623"/>
      <c r="NEQ23" s="623"/>
      <c r="NER23" s="623"/>
      <c r="NES23" s="623"/>
      <c r="NET23" s="623"/>
      <c r="NEU23" s="623"/>
      <c r="NEV23" s="623"/>
      <c r="NEW23" s="623"/>
      <c r="NEX23" s="623"/>
      <c r="NEY23" s="623"/>
      <c r="NEZ23" s="623"/>
      <c r="NFA23" s="623"/>
      <c r="NFB23" s="623"/>
      <c r="NFC23" s="623"/>
      <c r="NFD23" s="623"/>
      <c r="NFE23" s="623"/>
      <c r="NFF23" s="623"/>
      <c r="NFG23" s="623"/>
      <c r="NFH23" s="623"/>
      <c r="NFI23" s="623"/>
      <c r="NFJ23" s="623"/>
      <c r="NFK23" s="623"/>
      <c r="NFL23" s="623"/>
      <c r="NFM23" s="623"/>
      <c r="NFN23" s="623"/>
      <c r="NFO23" s="623"/>
      <c r="NFP23" s="623"/>
      <c r="NFQ23" s="623"/>
      <c r="NFR23" s="623"/>
      <c r="NFS23" s="623"/>
      <c r="NFT23" s="623"/>
      <c r="NFU23" s="623"/>
      <c r="NFV23" s="623"/>
      <c r="NFW23" s="623"/>
      <c r="NFX23" s="623"/>
      <c r="NFY23" s="623"/>
      <c r="NFZ23" s="623"/>
      <c r="NGA23" s="623"/>
      <c r="NGB23" s="623"/>
      <c r="NGC23" s="623"/>
      <c r="NGD23" s="623"/>
      <c r="NGE23" s="623"/>
      <c r="NGF23" s="623"/>
      <c r="NGG23" s="623"/>
      <c r="NGH23" s="623"/>
      <c r="NGI23" s="623"/>
      <c r="NGJ23" s="623"/>
      <c r="NGK23" s="623"/>
      <c r="NGL23" s="623"/>
      <c r="NGM23" s="623"/>
      <c r="NGN23" s="623"/>
      <c r="NGO23" s="623"/>
      <c r="NGP23" s="623"/>
      <c r="NGQ23" s="623"/>
      <c r="NGR23" s="623"/>
      <c r="NGS23" s="623"/>
      <c r="NGT23" s="623"/>
      <c r="NGU23" s="623"/>
      <c r="NGV23" s="623"/>
      <c r="NGW23" s="623"/>
      <c r="NGX23" s="623"/>
      <c r="NGY23" s="623"/>
      <c r="NGZ23" s="623"/>
      <c r="NHA23" s="623"/>
      <c r="NHB23" s="623"/>
      <c r="NHC23" s="623"/>
      <c r="NHD23" s="623"/>
      <c r="NHE23" s="623"/>
      <c r="NHF23" s="623"/>
      <c r="NHG23" s="623"/>
      <c r="NHH23" s="623"/>
      <c r="NHI23" s="623"/>
      <c r="NHJ23" s="623"/>
      <c r="NHK23" s="623"/>
      <c r="NHL23" s="623"/>
      <c r="NHM23" s="623"/>
      <c r="NHN23" s="623"/>
      <c r="NHO23" s="623"/>
      <c r="NHP23" s="623"/>
      <c r="NHQ23" s="623"/>
      <c r="NHR23" s="623"/>
      <c r="NHS23" s="623"/>
      <c r="NHT23" s="623"/>
      <c r="NHU23" s="623"/>
      <c r="NHV23" s="623"/>
      <c r="NHW23" s="623"/>
      <c r="NHX23" s="623"/>
      <c r="NHY23" s="623"/>
      <c r="NHZ23" s="623"/>
      <c r="NIA23" s="623"/>
      <c r="NIB23" s="623"/>
      <c r="NIC23" s="623"/>
      <c r="NID23" s="623"/>
      <c r="NIE23" s="623"/>
      <c r="NIF23" s="623"/>
      <c r="NIG23" s="623"/>
      <c r="NIH23" s="623"/>
      <c r="NII23" s="623"/>
      <c r="NIJ23" s="623"/>
      <c r="NIK23" s="623"/>
      <c r="NIL23" s="623"/>
      <c r="NIM23" s="623"/>
      <c r="NIN23" s="623"/>
      <c r="NIO23" s="623"/>
      <c r="NIP23" s="623"/>
      <c r="NIQ23" s="623"/>
      <c r="NIR23" s="623"/>
      <c r="NIS23" s="623"/>
      <c r="NIT23" s="623"/>
      <c r="NIU23" s="623"/>
      <c r="NIV23" s="623"/>
      <c r="NIW23" s="623"/>
      <c r="NIX23" s="623"/>
      <c r="NIY23" s="623"/>
      <c r="NIZ23" s="623"/>
      <c r="NJA23" s="623"/>
      <c r="NJB23" s="623"/>
      <c r="NJC23" s="623"/>
      <c r="NJD23" s="623"/>
      <c r="NJE23" s="623"/>
      <c r="NJF23" s="623"/>
      <c r="NJG23" s="623"/>
      <c r="NJH23" s="623"/>
      <c r="NJI23" s="623"/>
      <c r="NJJ23" s="623"/>
      <c r="NJK23" s="623"/>
      <c r="NJL23" s="623"/>
      <c r="NJM23" s="623"/>
      <c r="NJN23" s="623"/>
      <c r="NJO23" s="623"/>
      <c r="NJP23" s="623"/>
      <c r="NJQ23" s="623"/>
      <c r="NJR23" s="623"/>
      <c r="NJS23" s="623"/>
      <c r="NJT23" s="623"/>
      <c r="NJU23" s="623"/>
      <c r="NJV23" s="623"/>
      <c r="NJW23" s="623"/>
      <c r="NJX23" s="623"/>
      <c r="NJY23" s="623"/>
      <c r="NJZ23" s="623"/>
      <c r="NKA23" s="623"/>
      <c r="NKB23" s="623"/>
      <c r="NKC23" s="623"/>
      <c r="NKD23" s="623"/>
      <c r="NKE23" s="623"/>
      <c r="NKF23" s="623"/>
      <c r="NKG23" s="623"/>
      <c r="NKH23" s="623"/>
      <c r="NKI23" s="623"/>
      <c r="NKJ23" s="623"/>
      <c r="NKK23" s="623"/>
      <c r="NKL23" s="623"/>
      <c r="NKM23" s="623"/>
      <c r="NKN23" s="623"/>
      <c r="NKO23" s="623"/>
      <c r="NKP23" s="623"/>
      <c r="NKQ23" s="623"/>
      <c r="NKR23" s="623"/>
      <c r="NKS23" s="623"/>
      <c r="NKT23" s="623"/>
      <c r="NKU23" s="623"/>
      <c r="NKV23" s="623"/>
      <c r="NKW23" s="623"/>
      <c r="NKX23" s="623"/>
      <c r="NKY23" s="623"/>
      <c r="NKZ23" s="623"/>
      <c r="NLA23" s="623"/>
      <c r="NLB23" s="623"/>
      <c r="NLC23" s="623"/>
      <c r="NLD23" s="623"/>
      <c r="NLE23" s="623"/>
      <c r="NLF23" s="623"/>
      <c r="NLG23" s="623"/>
      <c r="NLH23" s="623"/>
      <c r="NLI23" s="623"/>
      <c r="NLJ23" s="623"/>
      <c r="NLK23" s="623"/>
      <c r="NLL23" s="623"/>
      <c r="NLM23" s="623"/>
      <c r="NLN23" s="623"/>
      <c r="NLO23" s="623"/>
      <c r="NLP23" s="623"/>
      <c r="NLQ23" s="623"/>
      <c r="NLR23" s="623"/>
      <c r="NLS23" s="623"/>
      <c r="NLT23" s="623"/>
      <c r="NLU23" s="623"/>
      <c r="NLV23" s="623"/>
      <c r="NLW23" s="623"/>
      <c r="NLX23" s="623"/>
      <c r="NLY23" s="623"/>
      <c r="NLZ23" s="623"/>
      <c r="NMA23" s="623"/>
      <c r="NMB23" s="623"/>
      <c r="NMC23" s="623"/>
      <c r="NMD23" s="623"/>
      <c r="NME23" s="623"/>
      <c r="NMF23" s="623"/>
      <c r="NMG23" s="623"/>
      <c r="NMH23" s="623"/>
      <c r="NMI23" s="623"/>
      <c r="NMJ23" s="623"/>
      <c r="NMK23" s="623"/>
      <c r="NML23" s="623"/>
      <c r="NMM23" s="623"/>
      <c r="NMN23" s="623"/>
      <c r="NMO23" s="623"/>
      <c r="NMP23" s="623"/>
      <c r="NMQ23" s="623"/>
      <c r="NMR23" s="623"/>
      <c r="NMS23" s="623"/>
      <c r="NMT23" s="623"/>
      <c r="NMU23" s="623"/>
      <c r="NMV23" s="623"/>
      <c r="NMW23" s="623"/>
      <c r="NMX23" s="623"/>
      <c r="NMY23" s="623"/>
      <c r="NMZ23" s="623"/>
      <c r="NNA23" s="623"/>
      <c r="NNB23" s="623"/>
      <c r="NNC23" s="623"/>
      <c r="NND23" s="623"/>
      <c r="NNE23" s="623"/>
      <c r="NNF23" s="623"/>
      <c r="NNG23" s="623"/>
      <c r="NNH23" s="623"/>
      <c r="NNI23" s="623"/>
      <c r="NNJ23" s="623"/>
      <c r="NNK23" s="623"/>
      <c r="NNL23" s="623"/>
      <c r="NNM23" s="623"/>
      <c r="NNN23" s="623"/>
      <c r="NNO23" s="623"/>
      <c r="NNP23" s="623"/>
      <c r="NNQ23" s="623"/>
      <c r="NNR23" s="623"/>
      <c r="NNS23" s="623"/>
      <c r="NNT23" s="623"/>
      <c r="NNU23" s="623"/>
      <c r="NNV23" s="623"/>
      <c r="NNW23" s="623"/>
      <c r="NNX23" s="623"/>
      <c r="NNY23" s="623"/>
      <c r="NNZ23" s="623"/>
      <c r="NOA23" s="623"/>
      <c r="NOB23" s="623"/>
      <c r="NOC23" s="623"/>
      <c r="NOD23" s="623"/>
      <c r="NOE23" s="623"/>
      <c r="NOF23" s="623"/>
      <c r="NOG23" s="623"/>
      <c r="NOH23" s="623"/>
      <c r="NOI23" s="623"/>
      <c r="NOJ23" s="623"/>
      <c r="NOK23" s="623"/>
      <c r="NOL23" s="623"/>
      <c r="NOM23" s="623"/>
      <c r="NON23" s="623"/>
      <c r="NOO23" s="623"/>
      <c r="NOP23" s="623"/>
      <c r="NOQ23" s="623"/>
      <c r="NOR23" s="623"/>
      <c r="NOS23" s="623"/>
      <c r="NOT23" s="623"/>
      <c r="NOU23" s="623"/>
      <c r="NOV23" s="623"/>
      <c r="NOW23" s="623"/>
      <c r="NOX23" s="623"/>
      <c r="NOY23" s="623"/>
      <c r="NOZ23" s="623"/>
      <c r="NPA23" s="623"/>
      <c r="NPB23" s="623"/>
      <c r="NPC23" s="623"/>
      <c r="NPD23" s="623"/>
      <c r="NPE23" s="623"/>
      <c r="NPF23" s="623"/>
      <c r="NPG23" s="623"/>
      <c r="NPH23" s="623"/>
      <c r="NPI23" s="623"/>
      <c r="NPJ23" s="623"/>
      <c r="NPK23" s="623"/>
      <c r="NPL23" s="623"/>
      <c r="NPM23" s="623"/>
      <c r="NPN23" s="623"/>
      <c r="NPO23" s="623"/>
      <c r="NPP23" s="623"/>
      <c r="NPQ23" s="623"/>
      <c r="NPR23" s="623"/>
      <c r="NPS23" s="623"/>
      <c r="NPT23" s="623"/>
      <c r="NPU23" s="623"/>
      <c r="NPV23" s="623"/>
      <c r="NPW23" s="623"/>
      <c r="NPX23" s="623"/>
      <c r="NPY23" s="623"/>
      <c r="NPZ23" s="623"/>
      <c r="NQA23" s="623"/>
      <c r="NQB23" s="623"/>
      <c r="NQC23" s="623"/>
      <c r="NQD23" s="623"/>
      <c r="NQE23" s="623"/>
      <c r="NQF23" s="623"/>
      <c r="NQG23" s="623"/>
      <c r="NQH23" s="623"/>
      <c r="NQI23" s="623"/>
      <c r="NQJ23" s="623"/>
      <c r="NQK23" s="623"/>
      <c r="NQL23" s="623"/>
      <c r="NQM23" s="623"/>
      <c r="NQN23" s="623"/>
      <c r="NQO23" s="623"/>
      <c r="NQP23" s="623"/>
      <c r="NQQ23" s="623"/>
      <c r="NQR23" s="623"/>
      <c r="NQS23" s="623"/>
      <c r="NQT23" s="623"/>
      <c r="NQU23" s="623"/>
      <c r="NQV23" s="623"/>
      <c r="NQW23" s="623"/>
      <c r="NQX23" s="623"/>
      <c r="NQY23" s="623"/>
      <c r="NQZ23" s="623"/>
      <c r="NRA23" s="623"/>
      <c r="NRB23" s="623"/>
      <c r="NRC23" s="623"/>
      <c r="NRD23" s="623"/>
      <c r="NRE23" s="623"/>
      <c r="NRF23" s="623"/>
      <c r="NRG23" s="623"/>
      <c r="NRH23" s="623"/>
      <c r="NRI23" s="623"/>
      <c r="NRJ23" s="623"/>
      <c r="NRK23" s="623"/>
      <c r="NRL23" s="623"/>
      <c r="NRM23" s="623"/>
      <c r="NRN23" s="623"/>
      <c r="NRO23" s="623"/>
      <c r="NRP23" s="623"/>
      <c r="NRQ23" s="623"/>
      <c r="NRR23" s="623"/>
      <c r="NRS23" s="623"/>
      <c r="NRT23" s="623"/>
      <c r="NRU23" s="623"/>
      <c r="NRV23" s="623"/>
      <c r="NRW23" s="623"/>
      <c r="NRX23" s="623"/>
      <c r="NRY23" s="623"/>
      <c r="NRZ23" s="623"/>
      <c r="NSA23" s="623"/>
      <c r="NSB23" s="623"/>
      <c r="NSC23" s="623"/>
      <c r="NSD23" s="623"/>
      <c r="NSE23" s="623"/>
      <c r="NSF23" s="623"/>
      <c r="NSG23" s="623"/>
      <c r="NSH23" s="623"/>
      <c r="NSI23" s="623"/>
      <c r="NSJ23" s="623"/>
      <c r="NSK23" s="623"/>
      <c r="NSL23" s="623"/>
      <c r="NSM23" s="623"/>
      <c r="NSN23" s="623"/>
      <c r="NSO23" s="623"/>
      <c r="NSP23" s="623"/>
      <c r="NSQ23" s="623"/>
      <c r="NSR23" s="623"/>
      <c r="NSS23" s="623"/>
      <c r="NST23" s="623"/>
      <c r="NSU23" s="623"/>
      <c r="NSV23" s="623"/>
      <c r="NSW23" s="623"/>
      <c r="NSX23" s="623"/>
      <c r="NSY23" s="623"/>
      <c r="NSZ23" s="623"/>
      <c r="NTA23" s="623"/>
      <c r="NTB23" s="623"/>
      <c r="NTC23" s="623"/>
      <c r="NTD23" s="623"/>
      <c r="NTE23" s="623"/>
      <c r="NTF23" s="623"/>
      <c r="NTG23" s="623"/>
      <c r="NTH23" s="623"/>
      <c r="NTI23" s="623"/>
      <c r="NTJ23" s="623"/>
      <c r="NTK23" s="623"/>
      <c r="NTL23" s="623"/>
      <c r="NTM23" s="623"/>
      <c r="NTN23" s="623"/>
      <c r="NTO23" s="623"/>
      <c r="NTP23" s="623"/>
      <c r="NTQ23" s="623"/>
      <c r="NTR23" s="623"/>
      <c r="NTS23" s="623"/>
      <c r="NTT23" s="623"/>
      <c r="NTU23" s="623"/>
      <c r="NTV23" s="623"/>
      <c r="NTW23" s="623"/>
      <c r="NTX23" s="623"/>
      <c r="NTY23" s="623"/>
      <c r="NTZ23" s="623"/>
      <c r="NUA23" s="623"/>
      <c r="NUB23" s="623"/>
      <c r="NUC23" s="623"/>
      <c r="NUD23" s="623"/>
      <c r="NUE23" s="623"/>
      <c r="NUF23" s="623"/>
      <c r="NUG23" s="623"/>
      <c r="NUH23" s="623"/>
      <c r="NUI23" s="623"/>
      <c r="NUJ23" s="623"/>
      <c r="NUK23" s="623"/>
      <c r="NUL23" s="623"/>
      <c r="NUM23" s="623"/>
      <c r="NUN23" s="623"/>
      <c r="NUO23" s="623"/>
      <c r="NUP23" s="623"/>
      <c r="NUQ23" s="623"/>
      <c r="NUR23" s="623"/>
      <c r="NUS23" s="623"/>
      <c r="NUT23" s="623"/>
      <c r="NUU23" s="623"/>
      <c r="NUV23" s="623"/>
      <c r="NUW23" s="623"/>
      <c r="NUX23" s="623"/>
      <c r="NUY23" s="623"/>
      <c r="NUZ23" s="623"/>
      <c r="NVA23" s="623"/>
      <c r="NVB23" s="623"/>
      <c r="NVC23" s="623"/>
      <c r="NVD23" s="623"/>
      <c r="NVE23" s="623"/>
      <c r="NVF23" s="623"/>
      <c r="NVG23" s="623"/>
      <c r="NVH23" s="623"/>
      <c r="NVI23" s="623"/>
      <c r="NVJ23" s="623"/>
      <c r="NVK23" s="623"/>
      <c r="NVL23" s="623"/>
      <c r="NVM23" s="623"/>
      <c r="NVN23" s="623"/>
      <c r="NVO23" s="623"/>
      <c r="NVP23" s="623"/>
      <c r="NVQ23" s="623"/>
      <c r="NVR23" s="623"/>
      <c r="NVS23" s="623"/>
      <c r="NVT23" s="623"/>
      <c r="NVU23" s="623"/>
      <c r="NVV23" s="623"/>
      <c r="NVW23" s="623"/>
      <c r="NVX23" s="623"/>
      <c r="NVY23" s="623"/>
      <c r="NVZ23" s="623"/>
      <c r="NWA23" s="623"/>
      <c r="NWB23" s="623"/>
      <c r="NWC23" s="623"/>
      <c r="NWD23" s="623"/>
      <c r="NWE23" s="623"/>
      <c r="NWF23" s="623"/>
      <c r="NWG23" s="623"/>
      <c r="NWH23" s="623"/>
      <c r="NWI23" s="623"/>
      <c r="NWJ23" s="623"/>
      <c r="NWK23" s="623"/>
      <c r="NWL23" s="623"/>
      <c r="NWM23" s="623"/>
      <c r="NWN23" s="623"/>
      <c r="NWO23" s="623"/>
      <c r="NWP23" s="623"/>
      <c r="NWQ23" s="623"/>
      <c r="NWR23" s="623"/>
      <c r="NWS23" s="623"/>
      <c r="NWT23" s="623"/>
      <c r="NWU23" s="623"/>
      <c r="NWV23" s="623"/>
      <c r="NWW23" s="623"/>
      <c r="NWX23" s="623"/>
      <c r="NWY23" s="623"/>
      <c r="NWZ23" s="623"/>
      <c r="NXA23" s="623"/>
      <c r="NXB23" s="623"/>
      <c r="NXC23" s="623"/>
      <c r="NXD23" s="623"/>
      <c r="NXE23" s="623"/>
      <c r="NXF23" s="623"/>
      <c r="NXG23" s="623"/>
      <c r="NXH23" s="623"/>
      <c r="NXI23" s="623"/>
      <c r="NXJ23" s="623"/>
      <c r="NXK23" s="623"/>
      <c r="NXL23" s="623"/>
      <c r="NXM23" s="623"/>
      <c r="NXN23" s="623"/>
      <c r="NXO23" s="623"/>
      <c r="NXP23" s="623"/>
      <c r="NXQ23" s="623"/>
      <c r="NXR23" s="623"/>
      <c r="NXS23" s="623"/>
      <c r="NXT23" s="623"/>
      <c r="NXU23" s="623"/>
      <c r="NXV23" s="623"/>
      <c r="NXW23" s="623"/>
      <c r="NXX23" s="623"/>
      <c r="NXY23" s="623"/>
      <c r="NXZ23" s="623"/>
      <c r="NYA23" s="623"/>
      <c r="NYB23" s="623"/>
      <c r="NYC23" s="623"/>
      <c r="NYD23" s="623"/>
      <c r="NYE23" s="623"/>
      <c r="NYF23" s="623"/>
      <c r="NYG23" s="623"/>
      <c r="NYH23" s="623"/>
      <c r="NYI23" s="623"/>
      <c r="NYJ23" s="623"/>
      <c r="NYK23" s="623"/>
      <c r="NYL23" s="623"/>
      <c r="NYM23" s="623"/>
      <c r="NYN23" s="623"/>
      <c r="NYO23" s="623"/>
      <c r="NYP23" s="623"/>
      <c r="NYQ23" s="623"/>
      <c r="NYR23" s="623"/>
      <c r="NYS23" s="623"/>
      <c r="NYT23" s="623"/>
      <c r="NYU23" s="623"/>
      <c r="NYV23" s="623"/>
      <c r="NYW23" s="623"/>
      <c r="NYX23" s="623"/>
      <c r="NYY23" s="623"/>
      <c r="NYZ23" s="623"/>
      <c r="NZA23" s="623"/>
      <c r="NZB23" s="623"/>
      <c r="NZC23" s="623"/>
      <c r="NZD23" s="623"/>
      <c r="NZE23" s="623"/>
      <c r="NZF23" s="623"/>
      <c r="NZG23" s="623"/>
      <c r="NZH23" s="623"/>
      <c r="NZI23" s="623"/>
      <c r="NZJ23" s="623"/>
      <c r="NZK23" s="623"/>
      <c r="NZL23" s="623"/>
      <c r="NZM23" s="623"/>
      <c r="NZN23" s="623"/>
      <c r="NZO23" s="623"/>
      <c r="NZP23" s="623"/>
      <c r="NZQ23" s="623"/>
      <c r="NZR23" s="623"/>
      <c r="NZS23" s="623"/>
      <c r="NZT23" s="623"/>
      <c r="NZU23" s="623"/>
      <c r="NZV23" s="623"/>
      <c r="NZW23" s="623"/>
      <c r="NZX23" s="623"/>
      <c r="NZY23" s="623"/>
      <c r="NZZ23" s="623"/>
      <c r="OAA23" s="623"/>
      <c r="OAB23" s="623"/>
      <c r="OAC23" s="623"/>
      <c r="OAD23" s="623"/>
      <c r="OAE23" s="623"/>
      <c r="OAF23" s="623"/>
      <c r="OAG23" s="623"/>
      <c r="OAH23" s="623"/>
      <c r="OAI23" s="623"/>
      <c r="OAJ23" s="623"/>
      <c r="OAK23" s="623"/>
      <c r="OAL23" s="623"/>
      <c r="OAM23" s="623"/>
      <c r="OAN23" s="623"/>
      <c r="OAO23" s="623"/>
      <c r="OAP23" s="623"/>
      <c r="OAQ23" s="623"/>
      <c r="OAR23" s="623"/>
      <c r="OAS23" s="623"/>
      <c r="OAT23" s="623"/>
      <c r="OAU23" s="623"/>
      <c r="OAV23" s="623"/>
      <c r="OAW23" s="623"/>
      <c r="OAX23" s="623"/>
      <c r="OAY23" s="623"/>
      <c r="OAZ23" s="623"/>
      <c r="OBA23" s="623"/>
      <c r="OBB23" s="623"/>
      <c r="OBC23" s="623"/>
      <c r="OBD23" s="623"/>
      <c r="OBE23" s="623"/>
      <c r="OBF23" s="623"/>
      <c r="OBG23" s="623"/>
      <c r="OBH23" s="623"/>
      <c r="OBI23" s="623"/>
      <c r="OBJ23" s="623"/>
      <c r="OBK23" s="623"/>
      <c r="OBL23" s="623"/>
      <c r="OBM23" s="623"/>
      <c r="OBN23" s="623"/>
      <c r="OBO23" s="623"/>
      <c r="OBP23" s="623"/>
      <c r="OBQ23" s="623"/>
      <c r="OBR23" s="623"/>
      <c r="OBS23" s="623"/>
      <c r="OBT23" s="623"/>
      <c r="OBU23" s="623"/>
      <c r="OBV23" s="623"/>
      <c r="OBW23" s="623"/>
      <c r="OBX23" s="623"/>
      <c r="OBY23" s="623"/>
      <c r="OBZ23" s="623"/>
      <c r="OCA23" s="623"/>
      <c r="OCB23" s="623"/>
      <c r="OCC23" s="623"/>
      <c r="OCD23" s="623"/>
      <c r="OCE23" s="623"/>
      <c r="OCF23" s="623"/>
      <c r="OCG23" s="623"/>
      <c r="OCH23" s="623"/>
      <c r="OCI23" s="623"/>
      <c r="OCJ23" s="623"/>
      <c r="OCK23" s="623"/>
      <c r="OCL23" s="623"/>
      <c r="OCM23" s="623"/>
      <c r="OCN23" s="623"/>
      <c r="OCO23" s="623"/>
      <c r="OCP23" s="623"/>
      <c r="OCQ23" s="623"/>
      <c r="OCR23" s="623"/>
      <c r="OCS23" s="623"/>
      <c r="OCT23" s="623"/>
      <c r="OCU23" s="623"/>
      <c r="OCV23" s="623"/>
      <c r="OCW23" s="623"/>
      <c r="OCX23" s="623"/>
      <c r="OCY23" s="623"/>
      <c r="OCZ23" s="623"/>
      <c r="ODA23" s="623"/>
      <c r="ODB23" s="623"/>
      <c r="ODC23" s="623"/>
      <c r="ODD23" s="623"/>
      <c r="ODE23" s="623"/>
      <c r="ODF23" s="623"/>
      <c r="ODG23" s="623"/>
      <c r="ODH23" s="623"/>
      <c r="ODI23" s="623"/>
      <c r="ODJ23" s="623"/>
      <c r="ODK23" s="623"/>
      <c r="ODL23" s="623"/>
      <c r="ODM23" s="623"/>
      <c r="ODN23" s="623"/>
      <c r="ODO23" s="623"/>
      <c r="ODP23" s="623"/>
      <c r="ODQ23" s="623"/>
      <c r="ODR23" s="623"/>
      <c r="ODS23" s="623"/>
      <c r="ODT23" s="623"/>
      <c r="ODU23" s="623"/>
      <c r="ODV23" s="623"/>
      <c r="ODW23" s="623"/>
      <c r="ODX23" s="623"/>
      <c r="ODY23" s="623"/>
      <c r="ODZ23" s="623"/>
      <c r="OEA23" s="623"/>
      <c r="OEB23" s="623"/>
      <c r="OEC23" s="623"/>
      <c r="OED23" s="623"/>
      <c r="OEE23" s="623"/>
      <c r="OEF23" s="623"/>
      <c r="OEG23" s="623"/>
      <c r="OEH23" s="623"/>
      <c r="OEI23" s="623"/>
      <c r="OEJ23" s="623"/>
      <c r="OEK23" s="623"/>
      <c r="OEL23" s="623"/>
      <c r="OEM23" s="623"/>
      <c r="OEN23" s="623"/>
      <c r="OEO23" s="623"/>
      <c r="OEP23" s="623"/>
      <c r="OEQ23" s="623"/>
      <c r="OER23" s="623"/>
      <c r="OES23" s="623"/>
      <c r="OET23" s="623"/>
      <c r="OEU23" s="623"/>
      <c r="OEV23" s="623"/>
      <c r="OEW23" s="623"/>
      <c r="OEX23" s="623"/>
      <c r="OEY23" s="623"/>
      <c r="OEZ23" s="623"/>
      <c r="OFA23" s="623"/>
      <c r="OFB23" s="623"/>
      <c r="OFC23" s="623"/>
      <c r="OFD23" s="623"/>
      <c r="OFE23" s="623"/>
      <c r="OFF23" s="623"/>
      <c r="OFG23" s="623"/>
      <c r="OFH23" s="623"/>
      <c r="OFI23" s="623"/>
      <c r="OFJ23" s="623"/>
      <c r="OFK23" s="623"/>
      <c r="OFL23" s="623"/>
      <c r="OFM23" s="623"/>
      <c r="OFN23" s="623"/>
      <c r="OFO23" s="623"/>
      <c r="OFP23" s="623"/>
      <c r="OFQ23" s="623"/>
      <c r="OFR23" s="623"/>
      <c r="OFS23" s="623"/>
      <c r="OFT23" s="623"/>
      <c r="OFU23" s="623"/>
      <c r="OFV23" s="623"/>
      <c r="OFW23" s="623"/>
      <c r="OFX23" s="623"/>
      <c r="OFY23" s="623"/>
      <c r="OFZ23" s="623"/>
      <c r="OGA23" s="623"/>
      <c r="OGB23" s="623"/>
      <c r="OGC23" s="623"/>
      <c r="OGD23" s="623"/>
      <c r="OGE23" s="623"/>
      <c r="OGF23" s="623"/>
      <c r="OGG23" s="623"/>
      <c r="OGH23" s="623"/>
      <c r="OGI23" s="623"/>
      <c r="OGJ23" s="623"/>
      <c r="OGK23" s="623"/>
      <c r="OGL23" s="623"/>
      <c r="OGM23" s="623"/>
      <c r="OGN23" s="623"/>
      <c r="OGO23" s="623"/>
      <c r="OGP23" s="623"/>
      <c r="OGQ23" s="623"/>
      <c r="OGR23" s="623"/>
      <c r="OGS23" s="623"/>
      <c r="OGT23" s="623"/>
      <c r="OGU23" s="623"/>
      <c r="OGV23" s="623"/>
      <c r="OGW23" s="623"/>
      <c r="OGX23" s="623"/>
      <c r="OGY23" s="623"/>
      <c r="OGZ23" s="623"/>
      <c r="OHA23" s="623"/>
      <c r="OHB23" s="623"/>
      <c r="OHC23" s="623"/>
      <c r="OHD23" s="623"/>
      <c r="OHE23" s="623"/>
      <c r="OHF23" s="623"/>
      <c r="OHG23" s="623"/>
      <c r="OHH23" s="623"/>
      <c r="OHI23" s="623"/>
      <c r="OHJ23" s="623"/>
      <c r="OHK23" s="623"/>
      <c r="OHL23" s="623"/>
      <c r="OHM23" s="623"/>
      <c r="OHN23" s="623"/>
      <c r="OHO23" s="623"/>
      <c r="OHP23" s="623"/>
      <c r="OHQ23" s="623"/>
      <c r="OHR23" s="623"/>
      <c r="OHS23" s="623"/>
      <c r="OHT23" s="623"/>
      <c r="OHU23" s="623"/>
      <c r="OHV23" s="623"/>
      <c r="OHW23" s="623"/>
      <c r="OHX23" s="623"/>
      <c r="OHY23" s="623"/>
      <c r="OHZ23" s="623"/>
      <c r="OIA23" s="623"/>
      <c r="OIB23" s="623"/>
      <c r="OIC23" s="623"/>
      <c r="OID23" s="623"/>
      <c r="OIE23" s="623"/>
      <c r="OIF23" s="623"/>
      <c r="OIG23" s="623"/>
      <c r="OIH23" s="623"/>
      <c r="OII23" s="623"/>
      <c r="OIJ23" s="623"/>
      <c r="OIK23" s="623"/>
      <c r="OIL23" s="623"/>
      <c r="OIM23" s="623"/>
      <c r="OIN23" s="623"/>
      <c r="OIO23" s="623"/>
      <c r="OIP23" s="623"/>
      <c r="OIQ23" s="623"/>
      <c r="OIR23" s="623"/>
      <c r="OIS23" s="623"/>
      <c r="OIT23" s="623"/>
      <c r="OIU23" s="623"/>
      <c r="OIV23" s="623"/>
      <c r="OIW23" s="623"/>
      <c r="OIX23" s="623"/>
      <c r="OIY23" s="623"/>
      <c r="OIZ23" s="623"/>
      <c r="OJA23" s="623"/>
      <c r="OJB23" s="623"/>
      <c r="OJC23" s="623"/>
      <c r="OJD23" s="623"/>
      <c r="OJE23" s="623"/>
      <c r="OJF23" s="623"/>
      <c r="OJG23" s="623"/>
      <c r="OJH23" s="623"/>
      <c r="OJI23" s="623"/>
      <c r="OJJ23" s="623"/>
      <c r="OJK23" s="623"/>
      <c r="OJL23" s="623"/>
      <c r="OJM23" s="623"/>
      <c r="OJN23" s="623"/>
      <c r="OJO23" s="623"/>
      <c r="OJP23" s="623"/>
      <c r="OJQ23" s="623"/>
      <c r="OJR23" s="623"/>
      <c r="OJS23" s="623"/>
      <c r="OJT23" s="623"/>
      <c r="OJU23" s="623"/>
      <c r="OJV23" s="623"/>
      <c r="OJW23" s="623"/>
      <c r="OJX23" s="623"/>
      <c r="OJY23" s="623"/>
      <c r="OJZ23" s="623"/>
      <c r="OKA23" s="623"/>
      <c r="OKB23" s="623"/>
      <c r="OKC23" s="623"/>
      <c r="OKD23" s="623"/>
      <c r="OKE23" s="623"/>
      <c r="OKF23" s="623"/>
      <c r="OKG23" s="623"/>
      <c r="OKH23" s="623"/>
      <c r="OKI23" s="623"/>
      <c r="OKJ23" s="623"/>
      <c r="OKK23" s="623"/>
      <c r="OKL23" s="623"/>
      <c r="OKM23" s="623"/>
      <c r="OKN23" s="623"/>
      <c r="OKO23" s="623"/>
      <c r="OKP23" s="623"/>
      <c r="OKQ23" s="623"/>
      <c r="OKR23" s="623"/>
      <c r="OKS23" s="623"/>
      <c r="OKT23" s="623"/>
      <c r="OKU23" s="623"/>
      <c r="OKV23" s="623"/>
      <c r="OKW23" s="623"/>
      <c r="OKX23" s="623"/>
      <c r="OKY23" s="623"/>
      <c r="OKZ23" s="623"/>
      <c r="OLA23" s="623"/>
      <c r="OLB23" s="623"/>
      <c r="OLC23" s="623"/>
      <c r="OLD23" s="623"/>
      <c r="OLE23" s="623"/>
      <c r="OLF23" s="623"/>
      <c r="OLG23" s="623"/>
      <c r="OLH23" s="623"/>
      <c r="OLI23" s="623"/>
      <c r="OLJ23" s="623"/>
      <c r="OLK23" s="623"/>
      <c r="OLL23" s="623"/>
      <c r="OLM23" s="623"/>
      <c r="OLN23" s="623"/>
      <c r="OLO23" s="623"/>
      <c r="OLP23" s="623"/>
      <c r="OLQ23" s="623"/>
      <c r="OLR23" s="623"/>
      <c r="OLS23" s="623"/>
      <c r="OLT23" s="623"/>
      <c r="OLU23" s="623"/>
      <c r="OLV23" s="623"/>
      <c r="OLW23" s="623"/>
      <c r="OLX23" s="623"/>
      <c r="OLY23" s="623"/>
      <c r="OLZ23" s="623"/>
      <c r="OMA23" s="623"/>
      <c r="OMB23" s="623"/>
      <c r="OMC23" s="623"/>
      <c r="OMD23" s="623"/>
      <c r="OME23" s="623"/>
      <c r="OMF23" s="623"/>
      <c r="OMG23" s="623"/>
      <c r="OMH23" s="623"/>
      <c r="OMI23" s="623"/>
      <c r="OMJ23" s="623"/>
      <c r="OMK23" s="623"/>
      <c r="OML23" s="623"/>
      <c r="OMM23" s="623"/>
      <c r="OMN23" s="623"/>
      <c r="OMO23" s="623"/>
      <c r="OMP23" s="623"/>
      <c r="OMQ23" s="623"/>
      <c r="OMR23" s="623"/>
      <c r="OMS23" s="623"/>
      <c r="OMT23" s="623"/>
      <c r="OMU23" s="623"/>
      <c r="OMV23" s="623"/>
      <c r="OMW23" s="623"/>
      <c r="OMX23" s="623"/>
      <c r="OMY23" s="623"/>
      <c r="OMZ23" s="623"/>
      <c r="ONA23" s="623"/>
      <c r="ONB23" s="623"/>
      <c r="ONC23" s="623"/>
      <c r="OND23" s="623"/>
      <c r="ONE23" s="623"/>
      <c r="ONF23" s="623"/>
      <c r="ONG23" s="623"/>
      <c r="ONH23" s="623"/>
      <c r="ONI23" s="623"/>
      <c r="ONJ23" s="623"/>
      <c r="ONK23" s="623"/>
      <c r="ONL23" s="623"/>
      <c r="ONM23" s="623"/>
      <c r="ONN23" s="623"/>
      <c r="ONO23" s="623"/>
      <c r="ONP23" s="623"/>
      <c r="ONQ23" s="623"/>
      <c r="ONR23" s="623"/>
      <c r="ONS23" s="623"/>
      <c r="ONT23" s="623"/>
      <c r="ONU23" s="623"/>
      <c r="ONV23" s="623"/>
      <c r="ONW23" s="623"/>
      <c r="ONX23" s="623"/>
      <c r="ONY23" s="623"/>
      <c r="ONZ23" s="623"/>
      <c r="OOA23" s="623"/>
      <c r="OOB23" s="623"/>
      <c r="OOC23" s="623"/>
      <c r="OOD23" s="623"/>
      <c r="OOE23" s="623"/>
      <c r="OOF23" s="623"/>
      <c r="OOG23" s="623"/>
      <c r="OOH23" s="623"/>
      <c r="OOI23" s="623"/>
      <c r="OOJ23" s="623"/>
      <c r="OOK23" s="623"/>
      <c r="OOL23" s="623"/>
      <c r="OOM23" s="623"/>
      <c r="OON23" s="623"/>
      <c r="OOO23" s="623"/>
      <c r="OOP23" s="623"/>
      <c r="OOQ23" s="623"/>
      <c r="OOR23" s="623"/>
      <c r="OOS23" s="623"/>
      <c r="OOT23" s="623"/>
      <c r="OOU23" s="623"/>
      <c r="OOV23" s="623"/>
      <c r="OOW23" s="623"/>
      <c r="OOX23" s="623"/>
      <c r="OOY23" s="623"/>
      <c r="OOZ23" s="623"/>
      <c r="OPA23" s="623"/>
      <c r="OPB23" s="623"/>
      <c r="OPC23" s="623"/>
      <c r="OPD23" s="623"/>
      <c r="OPE23" s="623"/>
      <c r="OPF23" s="623"/>
      <c r="OPG23" s="623"/>
      <c r="OPH23" s="623"/>
      <c r="OPI23" s="623"/>
      <c r="OPJ23" s="623"/>
      <c r="OPK23" s="623"/>
      <c r="OPL23" s="623"/>
      <c r="OPM23" s="623"/>
      <c r="OPN23" s="623"/>
      <c r="OPO23" s="623"/>
      <c r="OPP23" s="623"/>
      <c r="OPQ23" s="623"/>
      <c r="OPR23" s="623"/>
      <c r="OPS23" s="623"/>
      <c r="OPT23" s="623"/>
      <c r="OPU23" s="623"/>
      <c r="OPV23" s="623"/>
      <c r="OPW23" s="623"/>
      <c r="OPX23" s="623"/>
      <c r="OPY23" s="623"/>
      <c r="OPZ23" s="623"/>
      <c r="OQA23" s="623"/>
      <c r="OQB23" s="623"/>
      <c r="OQC23" s="623"/>
      <c r="OQD23" s="623"/>
      <c r="OQE23" s="623"/>
      <c r="OQF23" s="623"/>
      <c r="OQG23" s="623"/>
      <c r="OQH23" s="623"/>
      <c r="OQI23" s="623"/>
      <c r="OQJ23" s="623"/>
      <c r="OQK23" s="623"/>
      <c r="OQL23" s="623"/>
      <c r="OQM23" s="623"/>
      <c r="OQN23" s="623"/>
      <c r="OQO23" s="623"/>
      <c r="OQP23" s="623"/>
      <c r="OQQ23" s="623"/>
      <c r="OQR23" s="623"/>
      <c r="OQS23" s="623"/>
      <c r="OQT23" s="623"/>
      <c r="OQU23" s="623"/>
      <c r="OQV23" s="623"/>
      <c r="OQW23" s="623"/>
      <c r="OQX23" s="623"/>
      <c r="OQY23" s="623"/>
      <c r="OQZ23" s="623"/>
      <c r="ORA23" s="623"/>
      <c r="ORB23" s="623"/>
      <c r="ORC23" s="623"/>
      <c r="ORD23" s="623"/>
      <c r="ORE23" s="623"/>
      <c r="ORF23" s="623"/>
      <c r="ORG23" s="623"/>
      <c r="ORH23" s="623"/>
      <c r="ORI23" s="623"/>
      <c r="ORJ23" s="623"/>
      <c r="ORK23" s="623"/>
      <c r="ORL23" s="623"/>
      <c r="ORM23" s="623"/>
      <c r="ORN23" s="623"/>
      <c r="ORO23" s="623"/>
      <c r="ORP23" s="623"/>
      <c r="ORQ23" s="623"/>
      <c r="ORR23" s="623"/>
      <c r="ORS23" s="623"/>
      <c r="ORT23" s="623"/>
      <c r="ORU23" s="623"/>
      <c r="ORV23" s="623"/>
      <c r="ORW23" s="623"/>
      <c r="ORX23" s="623"/>
      <c r="ORY23" s="623"/>
      <c r="ORZ23" s="623"/>
      <c r="OSA23" s="623"/>
      <c r="OSB23" s="623"/>
      <c r="OSC23" s="623"/>
      <c r="OSD23" s="623"/>
      <c r="OSE23" s="623"/>
      <c r="OSF23" s="623"/>
      <c r="OSG23" s="623"/>
      <c r="OSH23" s="623"/>
      <c r="OSI23" s="623"/>
      <c r="OSJ23" s="623"/>
      <c r="OSK23" s="623"/>
      <c r="OSL23" s="623"/>
      <c r="OSM23" s="623"/>
      <c r="OSN23" s="623"/>
      <c r="OSO23" s="623"/>
      <c r="OSP23" s="623"/>
      <c r="OSQ23" s="623"/>
      <c r="OSR23" s="623"/>
      <c r="OSS23" s="623"/>
      <c r="OST23" s="623"/>
      <c r="OSU23" s="623"/>
      <c r="OSV23" s="623"/>
      <c r="OSW23" s="623"/>
      <c r="OSX23" s="623"/>
      <c r="OSY23" s="623"/>
      <c r="OSZ23" s="623"/>
      <c r="OTA23" s="623"/>
      <c r="OTB23" s="623"/>
      <c r="OTC23" s="623"/>
      <c r="OTD23" s="623"/>
      <c r="OTE23" s="623"/>
      <c r="OTF23" s="623"/>
      <c r="OTG23" s="623"/>
      <c r="OTH23" s="623"/>
      <c r="OTI23" s="623"/>
      <c r="OTJ23" s="623"/>
      <c r="OTK23" s="623"/>
      <c r="OTL23" s="623"/>
      <c r="OTM23" s="623"/>
      <c r="OTN23" s="623"/>
      <c r="OTO23" s="623"/>
      <c r="OTP23" s="623"/>
      <c r="OTQ23" s="623"/>
      <c r="OTR23" s="623"/>
      <c r="OTS23" s="623"/>
      <c r="OTT23" s="623"/>
      <c r="OTU23" s="623"/>
      <c r="OTV23" s="623"/>
      <c r="OTW23" s="623"/>
      <c r="OTX23" s="623"/>
      <c r="OTY23" s="623"/>
      <c r="OTZ23" s="623"/>
      <c r="OUA23" s="623"/>
      <c r="OUB23" s="623"/>
      <c r="OUC23" s="623"/>
      <c r="OUD23" s="623"/>
      <c r="OUE23" s="623"/>
      <c r="OUF23" s="623"/>
      <c r="OUG23" s="623"/>
      <c r="OUH23" s="623"/>
      <c r="OUI23" s="623"/>
      <c r="OUJ23" s="623"/>
      <c r="OUK23" s="623"/>
      <c r="OUL23" s="623"/>
      <c r="OUM23" s="623"/>
      <c r="OUN23" s="623"/>
      <c r="OUO23" s="623"/>
      <c r="OUP23" s="623"/>
      <c r="OUQ23" s="623"/>
      <c r="OUR23" s="623"/>
      <c r="OUS23" s="623"/>
      <c r="OUT23" s="623"/>
      <c r="OUU23" s="623"/>
      <c r="OUV23" s="623"/>
      <c r="OUW23" s="623"/>
      <c r="OUX23" s="623"/>
      <c r="OUY23" s="623"/>
      <c r="OUZ23" s="623"/>
      <c r="OVA23" s="623"/>
      <c r="OVB23" s="623"/>
      <c r="OVC23" s="623"/>
      <c r="OVD23" s="623"/>
      <c r="OVE23" s="623"/>
      <c r="OVF23" s="623"/>
      <c r="OVG23" s="623"/>
      <c r="OVH23" s="623"/>
      <c r="OVI23" s="623"/>
      <c r="OVJ23" s="623"/>
      <c r="OVK23" s="623"/>
      <c r="OVL23" s="623"/>
      <c r="OVM23" s="623"/>
      <c r="OVN23" s="623"/>
      <c r="OVO23" s="623"/>
      <c r="OVP23" s="623"/>
      <c r="OVQ23" s="623"/>
      <c r="OVR23" s="623"/>
      <c r="OVS23" s="623"/>
      <c r="OVT23" s="623"/>
      <c r="OVU23" s="623"/>
      <c r="OVV23" s="623"/>
      <c r="OVW23" s="623"/>
      <c r="OVX23" s="623"/>
      <c r="OVY23" s="623"/>
      <c r="OVZ23" s="623"/>
      <c r="OWA23" s="623"/>
      <c r="OWB23" s="623"/>
      <c r="OWC23" s="623"/>
      <c r="OWD23" s="623"/>
      <c r="OWE23" s="623"/>
      <c r="OWF23" s="623"/>
      <c r="OWG23" s="623"/>
      <c r="OWH23" s="623"/>
      <c r="OWI23" s="623"/>
      <c r="OWJ23" s="623"/>
      <c r="OWK23" s="623"/>
      <c r="OWL23" s="623"/>
      <c r="OWM23" s="623"/>
      <c r="OWN23" s="623"/>
      <c r="OWO23" s="623"/>
      <c r="OWP23" s="623"/>
      <c r="OWQ23" s="623"/>
      <c r="OWR23" s="623"/>
      <c r="OWS23" s="623"/>
      <c r="OWT23" s="623"/>
      <c r="OWU23" s="623"/>
      <c r="OWV23" s="623"/>
      <c r="OWW23" s="623"/>
      <c r="OWX23" s="623"/>
      <c r="OWY23" s="623"/>
      <c r="OWZ23" s="623"/>
      <c r="OXA23" s="623"/>
      <c r="OXB23" s="623"/>
      <c r="OXC23" s="623"/>
      <c r="OXD23" s="623"/>
      <c r="OXE23" s="623"/>
      <c r="OXF23" s="623"/>
      <c r="OXG23" s="623"/>
      <c r="OXH23" s="623"/>
      <c r="OXI23" s="623"/>
      <c r="OXJ23" s="623"/>
      <c r="OXK23" s="623"/>
      <c r="OXL23" s="623"/>
      <c r="OXM23" s="623"/>
      <c r="OXN23" s="623"/>
      <c r="OXO23" s="623"/>
      <c r="OXP23" s="623"/>
      <c r="OXQ23" s="623"/>
      <c r="OXR23" s="623"/>
      <c r="OXS23" s="623"/>
      <c r="OXT23" s="623"/>
      <c r="OXU23" s="623"/>
      <c r="OXV23" s="623"/>
      <c r="OXW23" s="623"/>
      <c r="OXX23" s="623"/>
      <c r="OXY23" s="623"/>
      <c r="OXZ23" s="623"/>
      <c r="OYA23" s="623"/>
      <c r="OYB23" s="623"/>
      <c r="OYC23" s="623"/>
      <c r="OYD23" s="623"/>
      <c r="OYE23" s="623"/>
      <c r="OYF23" s="623"/>
      <c r="OYG23" s="623"/>
      <c r="OYH23" s="623"/>
      <c r="OYI23" s="623"/>
      <c r="OYJ23" s="623"/>
      <c r="OYK23" s="623"/>
      <c r="OYL23" s="623"/>
      <c r="OYM23" s="623"/>
      <c r="OYN23" s="623"/>
      <c r="OYO23" s="623"/>
      <c r="OYP23" s="623"/>
      <c r="OYQ23" s="623"/>
      <c r="OYR23" s="623"/>
      <c r="OYS23" s="623"/>
      <c r="OYT23" s="623"/>
      <c r="OYU23" s="623"/>
      <c r="OYV23" s="623"/>
      <c r="OYW23" s="623"/>
      <c r="OYX23" s="623"/>
      <c r="OYY23" s="623"/>
      <c r="OYZ23" s="623"/>
      <c r="OZA23" s="623"/>
      <c r="OZB23" s="623"/>
      <c r="OZC23" s="623"/>
      <c r="OZD23" s="623"/>
      <c r="OZE23" s="623"/>
      <c r="OZF23" s="623"/>
      <c r="OZG23" s="623"/>
      <c r="OZH23" s="623"/>
      <c r="OZI23" s="623"/>
      <c r="OZJ23" s="623"/>
      <c r="OZK23" s="623"/>
      <c r="OZL23" s="623"/>
      <c r="OZM23" s="623"/>
      <c r="OZN23" s="623"/>
      <c r="OZO23" s="623"/>
      <c r="OZP23" s="623"/>
      <c r="OZQ23" s="623"/>
      <c r="OZR23" s="623"/>
      <c r="OZS23" s="623"/>
      <c r="OZT23" s="623"/>
      <c r="OZU23" s="623"/>
      <c r="OZV23" s="623"/>
      <c r="OZW23" s="623"/>
      <c r="OZX23" s="623"/>
      <c r="OZY23" s="623"/>
      <c r="OZZ23" s="623"/>
      <c r="PAA23" s="623"/>
      <c r="PAB23" s="623"/>
      <c r="PAC23" s="623"/>
      <c r="PAD23" s="623"/>
      <c r="PAE23" s="623"/>
      <c r="PAF23" s="623"/>
      <c r="PAG23" s="623"/>
      <c r="PAH23" s="623"/>
      <c r="PAI23" s="623"/>
      <c r="PAJ23" s="623"/>
      <c r="PAK23" s="623"/>
      <c r="PAL23" s="623"/>
      <c r="PAM23" s="623"/>
      <c r="PAN23" s="623"/>
      <c r="PAO23" s="623"/>
      <c r="PAP23" s="623"/>
      <c r="PAQ23" s="623"/>
      <c r="PAR23" s="623"/>
      <c r="PAS23" s="623"/>
      <c r="PAT23" s="623"/>
      <c r="PAU23" s="623"/>
      <c r="PAV23" s="623"/>
      <c r="PAW23" s="623"/>
      <c r="PAX23" s="623"/>
      <c r="PAY23" s="623"/>
      <c r="PAZ23" s="623"/>
      <c r="PBA23" s="623"/>
      <c r="PBB23" s="623"/>
      <c r="PBC23" s="623"/>
      <c r="PBD23" s="623"/>
      <c r="PBE23" s="623"/>
      <c r="PBF23" s="623"/>
      <c r="PBG23" s="623"/>
      <c r="PBH23" s="623"/>
      <c r="PBI23" s="623"/>
      <c r="PBJ23" s="623"/>
      <c r="PBK23" s="623"/>
      <c r="PBL23" s="623"/>
      <c r="PBM23" s="623"/>
      <c r="PBN23" s="623"/>
      <c r="PBO23" s="623"/>
      <c r="PBP23" s="623"/>
      <c r="PBQ23" s="623"/>
      <c r="PBR23" s="623"/>
      <c r="PBS23" s="623"/>
      <c r="PBT23" s="623"/>
      <c r="PBU23" s="623"/>
      <c r="PBV23" s="623"/>
      <c r="PBW23" s="623"/>
      <c r="PBX23" s="623"/>
      <c r="PBY23" s="623"/>
      <c r="PBZ23" s="623"/>
      <c r="PCA23" s="623"/>
      <c r="PCB23" s="623"/>
      <c r="PCC23" s="623"/>
      <c r="PCD23" s="623"/>
      <c r="PCE23" s="623"/>
      <c r="PCF23" s="623"/>
      <c r="PCG23" s="623"/>
      <c r="PCH23" s="623"/>
      <c r="PCI23" s="623"/>
      <c r="PCJ23" s="623"/>
      <c r="PCK23" s="623"/>
      <c r="PCL23" s="623"/>
      <c r="PCM23" s="623"/>
      <c r="PCN23" s="623"/>
      <c r="PCO23" s="623"/>
      <c r="PCP23" s="623"/>
      <c r="PCQ23" s="623"/>
      <c r="PCR23" s="623"/>
      <c r="PCS23" s="623"/>
      <c r="PCT23" s="623"/>
      <c r="PCU23" s="623"/>
      <c r="PCV23" s="623"/>
      <c r="PCW23" s="623"/>
      <c r="PCX23" s="623"/>
      <c r="PCY23" s="623"/>
      <c r="PCZ23" s="623"/>
      <c r="PDA23" s="623"/>
      <c r="PDB23" s="623"/>
      <c r="PDC23" s="623"/>
      <c r="PDD23" s="623"/>
      <c r="PDE23" s="623"/>
      <c r="PDF23" s="623"/>
      <c r="PDG23" s="623"/>
      <c r="PDH23" s="623"/>
      <c r="PDI23" s="623"/>
      <c r="PDJ23" s="623"/>
      <c r="PDK23" s="623"/>
      <c r="PDL23" s="623"/>
      <c r="PDM23" s="623"/>
      <c r="PDN23" s="623"/>
      <c r="PDO23" s="623"/>
      <c r="PDP23" s="623"/>
      <c r="PDQ23" s="623"/>
      <c r="PDR23" s="623"/>
      <c r="PDS23" s="623"/>
      <c r="PDT23" s="623"/>
      <c r="PDU23" s="623"/>
      <c r="PDV23" s="623"/>
      <c r="PDW23" s="623"/>
      <c r="PDX23" s="623"/>
      <c r="PDY23" s="623"/>
      <c r="PDZ23" s="623"/>
      <c r="PEA23" s="623"/>
      <c r="PEB23" s="623"/>
      <c r="PEC23" s="623"/>
      <c r="PED23" s="623"/>
      <c r="PEE23" s="623"/>
      <c r="PEF23" s="623"/>
      <c r="PEG23" s="623"/>
      <c r="PEH23" s="623"/>
      <c r="PEI23" s="623"/>
      <c r="PEJ23" s="623"/>
      <c r="PEK23" s="623"/>
      <c r="PEL23" s="623"/>
      <c r="PEM23" s="623"/>
      <c r="PEN23" s="623"/>
      <c r="PEO23" s="623"/>
      <c r="PEP23" s="623"/>
      <c r="PEQ23" s="623"/>
      <c r="PER23" s="623"/>
      <c r="PES23" s="623"/>
      <c r="PET23" s="623"/>
      <c r="PEU23" s="623"/>
      <c r="PEV23" s="623"/>
      <c r="PEW23" s="623"/>
      <c r="PEX23" s="623"/>
      <c r="PEY23" s="623"/>
      <c r="PEZ23" s="623"/>
      <c r="PFA23" s="623"/>
      <c r="PFB23" s="623"/>
      <c r="PFC23" s="623"/>
      <c r="PFD23" s="623"/>
      <c r="PFE23" s="623"/>
      <c r="PFF23" s="623"/>
      <c r="PFG23" s="623"/>
      <c r="PFH23" s="623"/>
      <c r="PFI23" s="623"/>
      <c r="PFJ23" s="623"/>
      <c r="PFK23" s="623"/>
      <c r="PFL23" s="623"/>
      <c r="PFM23" s="623"/>
      <c r="PFN23" s="623"/>
      <c r="PFO23" s="623"/>
      <c r="PFP23" s="623"/>
      <c r="PFQ23" s="623"/>
      <c r="PFR23" s="623"/>
      <c r="PFS23" s="623"/>
      <c r="PFT23" s="623"/>
      <c r="PFU23" s="623"/>
      <c r="PFV23" s="623"/>
      <c r="PFW23" s="623"/>
      <c r="PFX23" s="623"/>
      <c r="PFY23" s="623"/>
      <c r="PFZ23" s="623"/>
      <c r="PGA23" s="623"/>
      <c r="PGB23" s="623"/>
      <c r="PGC23" s="623"/>
      <c r="PGD23" s="623"/>
      <c r="PGE23" s="623"/>
      <c r="PGF23" s="623"/>
      <c r="PGG23" s="623"/>
      <c r="PGH23" s="623"/>
      <c r="PGI23" s="623"/>
      <c r="PGJ23" s="623"/>
      <c r="PGK23" s="623"/>
      <c r="PGL23" s="623"/>
      <c r="PGM23" s="623"/>
      <c r="PGN23" s="623"/>
      <c r="PGO23" s="623"/>
      <c r="PGP23" s="623"/>
      <c r="PGQ23" s="623"/>
      <c r="PGR23" s="623"/>
      <c r="PGS23" s="623"/>
      <c r="PGT23" s="623"/>
      <c r="PGU23" s="623"/>
      <c r="PGV23" s="623"/>
      <c r="PGW23" s="623"/>
      <c r="PGX23" s="623"/>
      <c r="PGY23" s="623"/>
      <c r="PGZ23" s="623"/>
      <c r="PHA23" s="623"/>
      <c r="PHB23" s="623"/>
      <c r="PHC23" s="623"/>
      <c r="PHD23" s="623"/>
      <c r="PHE23" s="623"/>
      <c r="PHF23" s="623"/>
      <c r="PHG23" s="623"/>
      <c r="PHH23" s="623"/>
      <c r="PHI23" s="623"/>
      <c r="PHJ23" s="623"/>
      <c r="PHK23" s="623"/>
      <c r="PHL23" s="623"/>
      <c r="PHM23" s="623"/>
      <c r="PHN23" s="623"/>
      <c r="PHO23" s="623"/>
      <c r="PHP23" s="623"/>
      <c r="PHQ23" s="623"/>
      <c r="PHR23" s="623"/>
      <c r="PHS23" s="623"/>
      <c r="PHT23" s="623"/>
      <c r="PHU23" s="623"/>
      <c r="PHV23" s="623"/>
      <c r="PHW23" s="623"/>
      <c r="PHX23" s="623"/>
      <c r="PHY23" s="623"/>
      <c r="PHZ23" s="623"/>
      <c r="PIA23" s="623"/>
      <c r="PIB23" s="623"/>
      <c r="PIC23" s="623"/>
      <c r="PID23" s="623"/>
      <c r="PIE23" s="623"/>
      <c r="PIF23" s="623"/>
      <c r="PIG23" s="623"/>
      <c r="PIH23" s="623"/>
      <c r="PII23" s="623"/>
      <c r="PIJ23" s="623"/>
      <c r="PIK23" s="623"/>
      <c r="PIL23" s="623"/>
      <c r="PIM23" s="623"/>
      <c r="PIN23" s="623"/>
      <c r="PIO23" s="623"/>
      <c r="PIP23" s="623"/>
      <c r="PIQ23" s="623"/>
      <c r="PIR23" s="623"/>
      <c r="PIS23" s="623"/>
      <c r="PIT23" s="623"/>
      <c r="PIU23" s="623"/>
      <c r="PIV23" s="623"/>
      <c r="PIW23" s="623"/>
      <c r="PIX23" s="623"/>
      <c r="PIY23" s="623"/>
      <c r="PIZ23" s="623"/>
      <c r="PJA23" s="623"/>
      <c r="PJB23" s="623"/>
      <c r="PJC23" s="623"/>
      <c r="PJD23" s="623"/>
      <c r="PJE23" s="623"/>
      <c r="PJF23" s="623"/>
      <c r="PJG23" s="623"/>
      <c r="PJH23" s="623"/>
      <c r="PJI23" s="623"/>
      <c r="PJJ23" s="623"/>
      <c r="PJK23" s="623"/>
      <c r="PJL23" s="623"/>
      <c r="PJM23" s="623"/>
      <c r="PJN23" s="623"/>
      <c r="PJO23" s="623"/>
      <c r="PJP23" s="623"/>
      <c r="PJQ23" s="623"/>
      <c r="PJR23" s="623"/>
      <c r="PJS23" s="623"/>
      <c r="PJT23" s="623"/>
      <c r="PJU23" s="623"/>
      <c r="PJV23" s="623"/>
      <c r="PJW23" s="623"/>
      <c r="PJX23" s="623"/>
      <c r="PJY23" s="623"/>
      <c r="PJZ23" s="623"/>
      <c r="PKA23" s="623"/>
      <c r="PKB23" s="623"/>
      <c r="PKC23" s="623"/>
      <c r="PKD23" s="623"/>
      <c r="PKE23" s="623"/>
      <c r="PKF23" s="623"/>
      <c r="PKG23" s="623"/>
      <c r="PKH23" s="623"/>
      <c r="PKI23" s="623"/>
      <c r="PKJ23" s="623"/>
      <c r="PKK23" s="623"/>
      <c r="PKL23" s="623"/>
      <c r="PKM23" s="623"/>
      <c r="PKN23" s="623"/>
      <c r="PKO23" s="623"/>
      <c r="PKP23" s="623"/>
      <c r="PKQ23" s="623"/>
      <c r="PKR23" s="623"/>
      <c r="PKS23" s="623"/>
      <c r="PKT23" s="623"/>
      <c r="PKU23" s="623"/>
      <c r="PKV23" s="623"/>
      <c r="PKW23" s="623"/>
      <c r="PKX23" s="623"/>
      <c r="PKY23" s="623"/>
      <c r="PKZ23" s="623"/>
      <c r="PLA23" s="623"/>
      <c r="PLB23" s="623"/>
      <c r="PLC23" s="623"/>
      <c r="PLD23" s="623"/>
      <c r="PLE23" s="623"/>
      <c r="PLF23" s="623"/>
      <c r="PLG23" s="623"/>
      <c r="PLH23" s="623"/>
      <c r="PLI23" s="623"/>
      <c r="PLJ23" s="623"/>
      <c r="PLK23" s="623"/>
      <c r="PLL23" s="623"/>
      <c r="PLM23" s="623"/>
      <c r="PLN23" s="623"/>
      <c r="PLO23" s="623"/>
      <c r="PLP23" s="623"/>
      <c r="PLQ23" s="623"/>
      <c r="PLR23" s="623"/>
      <c r="PLS23" s="623"/>
      <c r="PLT23" s="623"/>
      <c r="PLU23" s="623"/>
      <c r="PLV23" s="623"/>
      <c r="PLW23" s="623"/>
      <c r="PLX23" s="623"/>
      <c r="PLY23" s="623"/>
      <c r="PLZ23" s="623"/>
      <c r="PMA23" s="623"/>
      <c r="PMB23" s="623"/>
      <c r="PMC23" s="623"/>
      <c r="PMD23" s="623"/>
      <c r="PME23" s="623"/>
      <c r="PMF23" s="623"/>
      <c r="PMG23" s="623"/>
      <c r="PMH23" s="623"/>
      <c r="PMI23" s="623"/>
      <c r="PMJ23" s="623"/>
      <c r="PMK23" s="623"/>
      <c r="PML23" s="623"/>
      <c r="PMM23" s="623"/>
      <c r="PMN23" s="623"/>
      <c r="PMO23" s="623"/>
      <c r="PMP23" s="623"/>
      <c r="PMQ23" s="623"/>
      <c r="PMR23" s="623"/>
      <c r="PMS23" s="623"/>
      <c r="PMT23" s="623"/>
      <c r="PMU23" s="623"/>
      <c r="PMV23" s="623"/>
      <c r="PMW23" s="623"/>
      <c r="PMX23" s="623"/>
      <c r="PMY23" s="623"/>
      <c r="PMZ23" s="623"/>
      <c r="PNA23" s="623"/>
      <c r="PNB23" s="623"/>
      <c r="PNC23" s="623"/>
      <c r="PND23" s="623"/>
      <c r="PNE23" s="623"/>
      <c r="PNF23" s="623"/>
      <c r="PNG23" s="623"/>
      <c r="PNH23" s="623"/>
      <c r="PNI23" s="623"/>
      <c r="PNJ23" s="623"/>
      <c r="PNK23" s="623"/>
      <c r="PNL23" s="623"/>
      <c r="PNM23" s="623"/>
      <c r="PNN23" s="623"/>
      <c r="PNO23" s="623"/>
      <c r="PNP23" s="623"/>
      <c r="PNQ23" s="623"/>
      <c r="PNR23" s="623"/>
      <c r="PNS23" s="623"/>
      <c r="PNT23" s="623"/>
      <c r="PNU23" s="623"/>
      <c r="PNV23" s="623"/>
      <c r="PNW23" s="623"/>
      <c r="PNX23" s="623"/>
      <c r="PNY23" s="623"/>
      <c r="PNZ23" s="623"/>
      <c r="POA23" s="623"/>
      <c r="POB23" s="623"/>
      <c r="POC23" s="623"/>
      <c r="POD23" s="623"/>
      <c r="POE23" s="623"/>
      <c r="POF23" s="623"/>
      <c r="POG23" s="623"/>
      <c r="POH23" s="623"/>
      <c r="POI23" s="623"/>
      <c r="POJ23" s="623"/>
      <c r="POK23" s="623"/>
      <c r="POL23" s="623"/>
      <c r="POM23" s="623"/>
      <c r="PON23" s="623"/>
      <c r="POO23" s="623"/>
      <c r="POP23" s="623"/>
      <c r="POQ23" s="623"/>
      <c r="POR23" s="623"/>
      <c r="POS23" s="623"/>
      <c r="POT23" s="623"/>
      <c r="POU23" s="623"/>
      <c r="POV23" s="623"/>
      <c r="POW23" s="623"/>
      <c r="POX23" s="623"/>
      <c r="POY23" s="623"/>
      <c r="POZ23" s="623"/>
      <c r="PPA23" s="623"/>
      <c r="PPB23" s="623"/>
      <c r="PPC23" s="623"/>
      <c r="PPD23" s="623"/>
      <c r="PPE23" s="623"/>
      <c r="PPF23" s="623"/>
      <c r="PPG23" s="623"/>
      <c r="PPH23" s="623"/>
      <c r="PPI23" s="623"/>
      <c r="PPJ23" s="623"/>
      <c r="PPK23" s="623"/>
      <c r="PPL23" s="623"/>
      <c r="PPM23" s="623"/>
      <c r="PPN23" s="623"/>
      <c r="PPO23" s="623"/>
      <c r="PPP23" s="623"/>
      <c r="PPQ23" s="623"/>
      <c r="PPR23" s="623"/>
      <c r="PPS23" s="623"/>
      <c r="PPT23" s="623"/>
      <c r="PPU23" s="623"/>
      <c r="PPV23" s="623"/>
      <c r="PPW23" s="623"/>
      <c r="PPX23" s="623"/>
      <c r="PPY23" s="623"/>
      <c r="PPZ23" s="623"/>
      <c r="PQA23" s="623"/>
      <c r="PQB23" s="623"/>
      <c r="PQC23" s="623"/>
      <c r="PQD23" s="623"/>
      <c r="PQE23" s="623"/>
      <c r="PQF23" s="623"/>
      <c r="PQG23" s="623"/>
      <c r="PQH23" s="623"/>
      <c r="PQI23" s="623"/>
      <c r="PQJ23" s="623"/>
      <c r="PQK23" s="623"/>
      <c r="PQL23" s="623"/>
      <c r="PQM23" s="623"/>
      <c r="PQN23" s="623"/>
      <c r="PQO23" s="623"/>
      <c r="PQP23" s="623"/>
      <c r="PQQ23" s="623"/>
      <c r="PQR23" s="623"/>
      <c r="PQS23" s="623"/>
      <c r="PQT23" s="623"/>
      <c r="PQU23" s="623"/>
      <c r="PQV23" s="623"/>
      <c r="PQW23" s="623"/>
      <c r="PQX23" s="623"/>
      <c r="PQY23" s="623"/>
      <c r="PQZ23" s="623"/>
      <c r="PRA23" s="623"/>
      <c r="PRB23" s="623"/>
      <c r="PRC23" s="623"/>
      <c r="PRD23" s="623"/>
      <c r="PRE23" s="623"/>
      <c r="PRF23" s="623"/>
      <c r="PRG23" s="623"/>
      <c r="PRH23" s="623"/>
      <c r="PRI23" s="623"/>
      <c r="PRJ23" s="623"/>
      <c r="PRK23" s="623"/>
      <c r="PRL23" s="623"/>
      <c r="PRM23" s="623"/>
      <c r="PRN23" s="623"/>
      <c r="PRO23" s="623"/>
      <c r="PRP23" s="623"/>
      <c r="PRQ23" s="623"/>
      <c r="PRR23" s="623"/>
      <c r="PRS23" s="623"/>
      <c r="PRT23" s="623"/>
      <c r="PRU23" s="623"/>
      <c r="PRV23" s="623"/>
      <c r="PRW23" s="623"/>
      <c r="PRX23" s="623"/>
      <c r="PRY23" s="623"/>
      <c r="PRZ23" s="623"/>
      <c r="PSA23" s="623"/>
      <c r="PSB23" s="623"/>
      <c r="PSC23" s="623"/>
      <c r="PSD23" s="623"/>
      <c r="PSE23" s="623"/>
      <c r="PSF23" s="623"/>
      <c r="PSG23" s="623"/>
      <c r="PSH23" s="623"/>
      <c r="PSI23" s="623"/>
      <c r="PSJ23" s="623"/>
      <c r="PSK23" s="623"/>
      <c r="PSL23" s="623"/>
      <c r="PSM23" s="623"/>
      <c r="PSN23" s="623"/>
      <c r="PSO23" s="623"/>
      <c r="PSP23" s="623"/>
      <c r="PSQ23" s="623"/>
      <c r="PSR23" s="623"/>
      <c r="PSS23" s="623"/>
      <c r="PST23" s="623"/>
      <c r="PSU23" s="623"/>
      <c r="PSV23" s="623"/>
      <c r="PSW23" s="623"/>
      <c r="PSX23" s="623"/>
      <c r="PSY23" s="623"/>
      <c r="PSZ23" s="623"/>
      <c r="PTA23" s="623"/>
      <c r="PTB23" s="623"/>
      <c r="PTC23" s="623"/>
      <c r="PTD23" s="623"/>
      <c r="PTE23" s="623"/>
      <c r="PTF23" s="623"/>
      <c r="PTG23" s="623"/>
      <c r="PTH23" s="623"/>
      <c r="PTI23" s="623"/>
      <c r="PTJ23" s="623"/>
      <c r="PTK23" s="623"/>
      <c r="PTL23" s="623"/>
      <c r="PTM23" s="623"/>
      <c r="PTN23" s="623"/>
      <c r="PTO23" s="623"/>
      <c r="PTP23" s="623"/>
      <c r="PTQ23" s="623"/>
      <c r="PTR23" s="623"/>
      <c r="PTS23" s="623"/>
      <c r="PTT23" s="623"/>
      <c r="PTU23" s="623"/>
      <c r="PTV23" s="623"/>
      <c r="PTW23" s="623"/>
      <c r="PTX23" s="623"/>
      <c r="PTY23" s="623"/>
      <c r="PTZ23" s="623"/>
      <c r="PUA23" s="623"/>
      <c r="PUB23" s="623"/>
      <c r="PUC23" s="623"/>
      <c r="PUD23" s="623"/>
      <c r="PUE23" s="623"/>
      <c r="PUF23" s="623"/>
      <c r="PUG23" s="623"/>
      <c r="PUH23" s="623"/>
      <c r="PUI23" s="623"/>
      <c r="PUJ23" s="623"/>
      <c r="PUK23" s="623"/>
      <c r="PUL23" s="623"/>
      <c r="PUM23" s="623"/>
      <c r="PUN23" s="623"/>
      <c r="PUO23" s="623"/>
      <c r="PUP23" s="623"/>
      <c r="PUQ23" s="623"/>
      <c r="PUR23" s="623"/>
      <c r="PUS23" s="623"/>
      <c r="PUT23" s="623"/>
      <c r="PUU23" s="623"/>
      <c r="PUV23" s="623"/>
      <c r="PUW23" s="623"/>
      <c r="PUX23" s="623"/>
      <c r="PUY23" s="623"/>
      <c r="PUZ23" s="623"/>
      <c r="PVA23" s="623"/>
      <c r="PVB23" s="623"/>
      <c r="PVC23" s="623"/>
      <c r="PVD23" s="623"/>
      <c r="PVE23" s="623"/>
      <c r="PVF23" s="623"/>
      <c r="PVG23" s="623"/>
      <c r="PVH23" s="623"/>
      <c r="PVI23" s="623"/>
      <c r="PVJ23" s="623"/>
      <c r="PVK23" s="623"/>
      <c r="PVL23" s="623"/>
      <c r="PVM23" s="623"/>
      <c r="PVN23" s="623"/>
      <c r="PVO23" s="623"/>
      <c r="PVP23" s="623"/>
      <c r="PVQ23" s="623"/>
      <c r="PVR23" s="623"/>
      <c r="PVS23" s="623"/>
      <c r="PVT23" s="623"/>
      <c r="PVU23" s="623"/>
      <c r="PVV23" s="623"/>
      <c r="PVW23" s="623"/>
      <c r="PVX23" s="623"/>
      <c r="PVY23" s="623"/>
      <c r="PVZ23" s="623"/>
      <c r="PWA23" s="623"/>
      <c r="PWB23" s="623"/>
      <c r="PWC23" s="623"/>
      <c r="PWD23" s="623"/>
      <c r="PWE23" s="623"/>
      <c r="PWF23" s="623"/>
      <c r="PWG23" s="623"/>
      <c r="PWH23" s="623"/>
      <c r="PWI23" s="623"/>
      <c r="PWJ23" s="623"/>
      <c r="PWK23" s="623"/>
      <c r="PWL23" s="623"/>
      <c r="PWM23" s="623"/>
      <c r="PWN23" s="623"/>
      <c r="PWO23" s="623"/>
      <c r="PWP23" s="623"/>
      <c r="PWQ23" s="623"/>
      <c r="PWR23" s="623"/>
      <c r="PWS23" s="623"/>
      <c r="PWT23" s="623"/>
      <c r="PWU23" s="623"/>
      <c r="PWV23" s="623"/>
      <c r="PWW23" s="623"/>
      <c r="PWX23" s="623"/>
      <c r="PWY23" s="623"/>
      <c r="PWZ23" s="623"/>
      <c r="PXA23" s="623"/>
      <c r="PXB23" s="623"/>
      <c r="PXC23" s="623"/>
      <c r="PXD23" s="623"/>
      <c r="PXE23" s="623"/>
      <c r="PXF23" s="623"/>
      <c r="PXG23" s="623"/>
      <c r="PXH23" s="623"/>
      <c r="PXI23" s="623"/>
      <c r="PXJ23" s="623"/>
      <c r="PXK23" s="623"/>
      <c r="PXL23" s="623"/>
      <c r="PXM23" s="623"/>
      <c r="PXN23" s="623"/>
      <c r="PXO23" s="623"/>
      <c r="PXP23" s="623"/>
      <c r="PXQ23" s="623"/>
      <c r="PXR23" s="623"/>
      <c r="PXS23" s="623"/>
      <c r="PXT23" s="623"/>
      <c r="PXU23" s="623"/>
      <c r="PXV23" s="623"/>
      <c r="PXW23" s="623"/>
      <c r="PXX23" s="623"/>
      <c r="PXY23" s="623"/>
      <c r="PXZ23" s="623"/>
      <c r="PYA23" s="623"/>
      <c r="PYB23" s="623"/>
      <c r="PYC23" s="623"/>
      <c r="PYD23" s="623"/>
      <c r="PYE23" s="623"/>
      <c r="PYF23" s="623"/>
      <c r="PYG23" s="623"/>
      <c r="PYH23" s="623"/>
      <c r="PYI23" s="623"/>
      <c r="PYJ23" s="623"/>
      <c r="PYK23" s="623"/>
      <c r="PYL23" s="623"/>
      <c r="PYM23" s="623"/>
      <c r="PYN23" s="623"/>
      <c r="PYO23" s="623"/>
      <c r="PYP23" s="623"/>
      <c r="PYQ23" s="623"/>
      <c r="PYR23" s="623"/>
      <c r="PYS23" s="623"/>
      <c r="PYT23" s="623"/>
      <c r="PYU23" s="623"/>
      <c r="PYV23" s="623"/>
      <c r="PYW23" s="623"/>
      <c r="PYX23" s="623"/>
      <c r="PYY23" s="623"/>
      <c r="PYZ23" s="623"/>
      <c r="PZA23" s="623"/>
      <c r="PZB23" s="623"/>
      <c r="PZC23" s="623"/>
      <c r="PZD23" s="623"/>
      <c r="PZE23" s="623"/>
      <c r="PZF23" s="623"/>
      <c r="PZG23" s="623"/>
      <c r="PZH23" s="623"/>
      <c r="PZI23" s="623"/>
      <c r="PZJ23" s="623"/>
      <c r="PZK23" s="623"/>
      <c r="PZL23" s="623"/>
      <c r="PZM23" s="623"/>
      <c r="PZN23" s="623"/>
      <c r="PZO23" s="623"/>
      <c r="PZP23" s="623"/>
      <c r="PZQ23" s="623"/>
      <c r="PZR23" s="623"/>
      <c r="PZS23" s="623"/>
      <c r="PZT23" s="623"/>
      <c r="PZU23" s="623"/>
      <c r="PZV23" s="623"/>
      <c r="PZW23" s="623"/>
      <c r="PZX23" s="623"/>
      <c r="PZY23" s="623"/>
      <c r="PZZ23" s="623"/>
      <c r="QAA23" s="623"/>
      <c r="QAB23" s="623"/>
      <c r="QAC23" s="623"/>
      <c r="QAD23" s="623"/>
      <c r="QAE23" s="623"/>
      <c r="QAF23" s="623"/>
      <c r="QAG23" s="623"/>
      <c r="QAH23" s="623"/>
      <c r="QAI23" s="623"/>
      <c r="QAJ23" s="623"/>
      <c r="QAK23" s="623"/>
      <c r="QAL23" s="623"/>
      <c r="QAM23" s="623"/>
      <c r="QAN23" s="623"/>
      <c r="QAO23" s="623"/>
      <c r="QAP23" s="623"/>
      <c r="QAQ23" s="623"/>
      <c r="QAR23" s="623"/>
      <c r="QAS23" s="623"/>
      <c r="QAT23" s="623"/>
      <c r="QAU23" s="623"/>
      <c r="QAV23" s="623"/>
      <c r="QAW23" s="623"/>
      <c r="QAX23" s="623"/>
      <c r="QAY23" s="623"/>
      <c r="QAZ23" s="623"/>
      <c r="QBA23" s="623"/>
      <c r="QBB23" s="623"/>
      <c r="QBC23" s="623"/>
      <c r="QBD23" s="623"/>
      <c r="QBE23" s="623"/>
      <c r="QBF23" s="623"/>
      <c r="QBG23" s="623"/>
      <c r="QBH23" s="623"/>
      <c r="QBI23" s="623"/>
      <c r="QBJ23" s="623"/>
      <c r="QBK23" s="623"/>
      <c r="QBL23" s="623"/>
      <c r="QBM23" s="623"/>
      <c r="QBN23" s="623"/>
      <c r="QBO23" s="623"/>
      <c r="QBP23" s="623"/>
      <c r="QBQ23" s="623"/>
      <c r="QBR23" s="623"/>
      <c r="QBS23" s="623"/>
      <c r="QBT23" s="623"/>
      <c r="QBU23" s="623"/>
      <c r="QBV23" s="623"/>
      <c r="QBW23" s="623"/>
      <c r="QBX23" s="623"/>
      <c r="QBY23" s="623"/>
      <c r="QBZ23" s="623"/>
      <c r="QCA23" s="623"/>
      <c r="QCB23" s="623"/>
      <c r="QCC23" s="623"/>
      <c r="QCD23" s="623"/>
      <c r="QCE23" s="623"/>
      <c r="QCF23" s="623"/>
      <c r="QCG23" s="623"/>
      <c r="QCH23" s="623"/>
      <c r="QCI23" s="623"/>
      <c r="QCJ23" s="623"/>
      <c r="QCK23" s="623"/>
      <c r="QCL23" s="623"/>
      <c r="QCM23" s="623"/>
      <c r="QCN23" s="623"/>
      <c r="QCO23" s="623"/>
      <c r="QCP23" s="623"/>
      <c r="QCQ23" s="623"/>
      <c r="QCR23" s="623"/>
      <c r="QCS23" s="623"/>
      <c r="QCT23" s="623"/>
      <c r="QCU23" s="623"/>
      <c r="QCV23" s="623"/>
      <c r="QCW23" s="623"/>
      <c r="QCX23" s="623"/>
      <c r="QCY23" s="623"/>
      <c r="QCZ23" s="623"/>
      <c r="QDA23" s="623"/>
      <c r="QDB23" s="623"/>
      <c r="QDC23" s="623"/>
      <c r="QDD23" s="623"/>
      <c r="QDE23" s="623"/>
      <c r="QDF23" s="623"/>
      <c r="QDG23" s="623"/>
      <c r="QDH23" s="623"/>
      <c r="QDI23" s="623"/>
      <c r="QDJ23" s="623"/>
      <c r="QDK23" s="623"/>
      <c r="QDL23" s="623"/>
      <c r="QDM23" s="623"/>
      <c r="QDN23" s="623"/>
      <c r="QDO23" s="623"/>
      <c r="QDP23" s="623"/>
      <c r="QDQ23" s="623"/>
      <c r="QDR23" s="623"/>
      <c r="QDS23" s="623"/>
      <c r="QDT23" s="623"/>
      <c r="QDU23" s="623"/>
      <c r="QDV23" s="623"/>
      <c r="QDW23" s="623"/>
      <c r="QDX23" s="623"/>
      <c r="QDY23" s="623"/>
      <c r="QDZ23" s="623"/>
      <c r="QEA23" s="623"/>
      <c r="QEB23" s="623"/>
      <c r="QEC23" s="623"/>
      <c r="QED23" s="623"/>
      <c r="QEE23" s="623"/>
      <c r="QEF23" s="623"/>
      <c r="QEG23" s="623"/>
      <c r="QEH23" s="623"/>
      <c r="QEI23" s="623"/>
      <c r="QEJ23" s="623"/>
      <c r="QEK23" s="623"/>
      <c r="QEL23" s="623"/>
      <c r="QEM23" s="623"/>
      <c r="QEN23" s="623"/>
      <c r="QEO23" s="623"/>
      <c r="QEP23" s="623"/>
      <c r="QEQ23" s="623"/>
      <c r="QER23" s="623"/>
      <c r="QES23" s="623"/>
      <c r="QET23" s="623"/>
      <c r="QEU23" s="623"/>
      <c r="QEV23" s="623"/>
      <c r="QEW23" s="623"/>
      <c r="QEX23" s="623"/>
      <c r="QEY23" s="623"/>
      <c r="QEZ23" s="623"/>
      <c r="QFA23" s="623"/>
      <c r="QFB23" s="623"/>
      <c r="QFC23" s="623"/>
      <c r="QFD23" s="623"/>
      <c r="QFE23" s="623"/>
      <c r="QFF23" s="623"/>
      <c r="QFG23" s="623"/>
      <c r="QFH23" s="623"/>
      <c r="QFI23" s="623"/>
      <c r="QFJ23" s="623"/>
      <c r="QFK23" s="623"/>
      <c r="QFL23" s="623"/>
      <c r="QFM23" s="623"/>
      <c r="QFN23" s="623"/>
      <c r="QFO23" s="623"/>
      <c r="QFP23" s="623"/>
      <c r="QFQ23" s="623"/>
      <c r="QFR23" s="623"/>
      <c r="QFS23" s="623"/>
      <c r="QFT23" s="623"/>
      <c r="QFU23" s="623"/>
      <c r="QFV23" s="623"/>
      <c r="QFW23" s="623"/>
      <c r="QFX23" s="623"/>
      <c r="QFY23" s="623"/>
      <c r="QFZ23" s="623"/>
      <c r="QGA23" s="623"/>
      <c r="QGB23" s="623"/>
      <c r="QGC23" s="623"/>
      <c r="QGD23" s="623"/>
      <c r="QGE23" s="623"/>
      <c r="QGF23" s="623"/>
      <c r="QGG23" s="623"/>
      <c r="QGH23" s="623"/>
      <c r="QGI23" s="623"/>
      <c r="QGJ23" s="623"/>
      <c r="QGK23" s="623"/>
      <c r="QGL23" s="623"/>
      <c r="QGM23" s="623"/>
      <c r="QGN23" s="623"/>
      <c r="QGO23" s="623"/>
      <c r="QGP23" s="623"/>
      <c r="QGQ23" s="623"/>
      <c r="QGR23" s="623"/>
      <c r="QGS23" s="623"/>
      <c r="QGT23" s="623"/>
      <c r="QGU23" s="623"/>
      <c r="QGV23" s="623"/>
      <c r="QGW23" s="623"/>
      <c r="QGX23" s="623"/>
      <c r="QGY23" s="623"/>
      <c r="QGZ23" s="623"/>
      <c r="QHA23" s="623"/>
      <c r="QHB23" s="623"/>
      <c r="QHC23" s="623"/>
      <c r="QHD23" s="623"/>
      <c r="QHE23" s="623"/>
      <c r="QHF23" s="623"/>
      <c r="QHG23" s="623"/>
      <c r="QHH23" s="623"/>
      <c r="QHI23" s="623"/>
      <c r="QHJ23" s="623"/>
      <c r="QHK23" s="623"/>
      <c r="QHL23" s="623"/>
      <c r="QHM23" s="623"/>
      <c r="QHN23" s="623"/>
      <c r="QHO23" s="623"/>
      <c r="QHP23" s="623"/>
      <c r="QHQ23" s="623"/>
      <c r="QHR23" s="623"/>
      <c r="QHS23" s="623"/>
      <c r="QHT23" s="623"/>
      <c r="QHU23" s="623"/>
      <c r="QHV23" s="623"/>
      <c r="QHW23" s="623"/>
      <c r="QHX23" s="623"/>
      <c r="QHY23" s="623"/>
      <c r="QHZ23" s="623"/>
      <c r="QIA23" s="623"/>
      <c r="QIB23" s="623"/>
      <c r="QIC23" s="623"/>
      <c r="QID23" s="623"/>
      <c r="QIE23" s="623"/>
      <c r="QIF23" s="623"/>
      <c r="QIG23" s="623"/>
      <c r="QIH23" s="623"/>
      <c r="QII23" s="623"/>
      <c r="QIJ23" s="623"/>
      <c r="QIK23" s="623"/>
      <c r="QIL23" s="623"/>
      <c r="QIM23" s="623"/>
      <c r="QIN23" s="623"/>
      <c r="QIO23" s="623"/>
      <c r="QIP23" s="623"/>
      <c r="QIQ23" s="623"/>
      <c r="QIR23" s="623"/>
      <c r="QIS23" s="623"/>
      <c r="QIT23" s="623"/>
      <c r="QIU23" s="623"/>
      <c r="QIV23" s="623"/>
      <c r="QIW23" s="623"/>
      <c r="QIX23" s="623"/>
      <c r="QIY23" s="623"/>
      <c r="QIZ23" s="623"/>
      <c r="QJA23" s="623"/>
      <c r="QJB23" s="623"/>
      <c r="QJC23" s="623"/>
      <c r="QJD23" s="623"/>
      <c r="QJE23" s="623"/>
      <c r="QJF23" s="623"/>
      <c r="QJG23" s="623"/>
      <c r="QJH23" s="623"/>
      <c r="QJI23" s="623"/>
      <c r="QJJ23" s="623"/>
      <c r="QJK23" s="623"/>
      <c r="QJL23" s="623"/>
      <c r="QJM23" s="623"/>
      <c r="QJN23" s="623"/>
      <c r="QJO23" s="623"/>
      <c r="QJP23" s="623"/>
      <c r="QJQ23" s="623"/>
      <c r="QJR23" s="623"/>
      <c r="QJS23" s="623"/>
      <c r="QJT23" s="623"/>
      <c r="QJU23" s="623"/>
      <c r="QJV23" s="623"/>
      <c r="QJW23" s="623"/>
      <c r="QJX23" s="623"/>
      <c r="QJY23" s="623"/>
      <c r="QJZ23" s="623"/>
      <c r="QKA23" s="623"/>
      <c r="QKB23" s="623"/>
      <c r="QKC23" s="623"/>
      <c r="QKD23" s="623"/>
      <c r="QKE23" s="623"/>
      <c r="QKF23" s="623"/>
      <c r="QKG23" s="623"/>
      <c r="QKH23" s="623"/>
      <c r="QKI23" s="623"/>
      <c r="QKJ23" s="623"/>
      <c r="QKK23" s="623"/>
      <c r="QKL23" s="623"/>
      <c r="QKM23" s="623"/>
      <c r="QKN23" s="623"/>
      <c r="QKO23" s="623"/>
      <c r="QKP23" s="623"/>
      <c r="QKQ23" s="623"/>
      <c r="QKR23" s="623"/>
      <c r="QKS23" s="623"/>
      <c r="QKT23" s="623"/>
      <c r="QKU23" s="623"/>
      <c r="QKV23" s="623"/>
      <c r="QKW23" s="623"/>
      <c r="QKX23" s="623"/>
      <c r="QKY23" s="623"/>
      <c r="QKZ23" s="623"/>
      <c r="QLA23" s="623"/>
      <c r="QLB23" s="623"/>
      <c r="QLC23" s="623"/>
      <c r="QLD23" s="623"/>
      <c r="QLE23" s="623"/>
      <c r="QLF23" s="623"/>
      <c r="QLG23" s="623"/>
      <c r="QLH23" s="623"/>
      <c r="QLI23" s="623"/>
      <c r="QLJ23" s="623"/>
      <c r="QLK23" s="623"/>
      <c r="QLL23" s="623"/>
      <c r="QLM23" s="623"/>
      <c r="QLN23" s="623"/>
      <c r="QLO23" s="623"/>
      <c r="QLP23" s="623"/>
      <c r="QLQ23" s="623"/>
      <c r="QLR23" s="623"/>
      <c r="QLS23" s="623"/>
      <c r="QLT23" s="623"/>
      <c r="QLU23" s="623"/>
      <c r="QLV23" s="623"/>
      <c r="QLW23" s="623"/>
      <c r="QLX23" s="623"/>
      <c r="QLY23" s="623"/>
      <c r="QLZ23" s="623"/>
      <c r="QMA23" s="623"/>
      <c r="QMB23" s="623"/>
      <c r="QMC23" s="623"/>
      <c r="QMD23" s="623"/>
      <c r="QME23" s="623"/>
      <c r="QMF23" s="623"/>
      <c r="QMG23" s="623"/>
      <c r="QMH23" s="623"/>
      <c r="QMI23" s="623"/>
      <c r="QMJ23" s="623"/>
      <c r="QMK23" s="623"/>
      <c r="QML23" s="623"/>
      <c r="QMM23" s="623"/>
      <c r="QMN23" s="623"/>
      <c r="QMO23" s="623"/>
      <c r="QMP23" s="623"/>
      <c r="QMQ23" s="623"/>
      <c r="QMR23" s="623"/>
      <c r="QMS23" s="623"/>
      <c r="QMT23" s="623"/>
      <c r="QMU23" s="623"/>
      <c r="QMV23" s="623"/>
      <c r="QMW23" s="623"/>
      <c r="QMX23" s="623"/>
      <c r="QMY23" s="623"/>
      <c r="QMZ23" s="623"/>
      <c r="QNA23" s="623"/>
      <c r="QNB23" s="623"/>
      <c r="QNC23" s="623"/>
      <c r="QND23" s="623"/>
      <c r="QNE23" s="623"/>
      <c r="QNF23" s="623"/>
      <c r="QNG23" s="623"/>
      <c r="QNH23" s="623"/>
      <c r="QNI23" s="623"/>
      <c r="QNJ23" s="623"/>
      <c r="QNK23" s="623"/>
      <c r="QNL23" s="623"/>
      <c r="QNM23" s="623"/>
      <c r="QNN23" s="623"/>
      <c r="QNO23" s="623"/>
      <c r="QNP23" s="623"/>
      <c r="QNQ23" s="623"/>
      <c r="QNR23" s="623"/>
      <c r="QNS23" s="623"/>
      <c r="QNT23" s="623"/>
      <c r="QNU23" s="623"/>
      <c r="QNV23" s="623"/>
      <c r="QNW23" s="623"/>
      <c r="QNX23" s="623"/>
      <c r="QNY23" s="623"/>
      <c r="QNZ23" s="623"/>
      <c r="QOA23" s="623"/>
      <c r="QOB23" s="623"/>
      <c r="QOC23" s="623"/>
      <c r="QOD23" s="623"/>
      <c r="QOE23" s="623"/>
      <c r="QOF23" s="623"/>
      <c r="QOG23" s="623"/>
      <c r="QOH23" s="623"/>
      <c r="QOI23" s="623"/>
      <c r="QOJ23" s="623"/>
      <c r="QOK23" s="623"/>
      <c r="QOL23" s="623"/>
      <c r="QOM23" s="623"/>
      <c r="QON23" s="623"/>
      <c r="QOO23" s="623"/>
      <c r="QOP23" s="623"/>
      <c r="QOQ23" s="623"/>
      <c r="QOR23" s="623"/>
      <c r="QOS23" s="623"/>
      <c r="QOT23" s="623"/>
      <c r="QOU23" s="623"/>
      <c r="QOV23" s="623"/>
      <c r="QOW23" s="623"/>
      <c r="QOX23" s="623"/>
      <c r="QOY23" s="623"/>
      <c r="QOZ23" s="623"/>
      <c r="QPA23" s="623"/>
      <c r="QPB23" s="623"/>
      <c r="QPC23" s="623"/>
      <c r="QPD23" s="623"/>
      <c r="QPE23" s="623"/>
      <c r="QPF23" s="623"/>
      <c r="QPG23" s="623"/>
      <c r="QPH23" s="623"/>
      <c r="QPI23" s="623"/>
      <c r="QPJ23" s="623"/>
      <c r="QPK23" s="623"/>
      <c r="QPL23" s="623"/>
      <c r="QPM23" s="623"/>
      <c r="QPN23" s="623"/>
      <c r="QPO23" s="623"/>
      <c r="QPP23" s="623"/>
      <c r="QPQ23" s="623"/>
      <c r="QPR23" s="623"/>
      <c r="QPS23" s="623"/>
      <c r="QPT23" s="623"/>
      <c r="QPU23" s="623"/>
      <c r="QPV23" s="623"/>
      <c r="QPW23" s="623"/>
      <c r="QPX23" s="623"/>
      <c r="QPY23" s="623"/>
      <c r="QPZ23" s="623"/>
      <c r="QQA23" s="623"/>
      <c r="QQB23" s="623"/>
      <c r="QQC23" s="623"/>
      <c r="QQD23" s="623"/>
      <c r="QQE23" s="623"/>
      <c r="QQF23" s="623"/>
      <c r="QQG23" s="623"/>
      <c r="QQH23" s="623"/>
      <c r="QQI23" s="623"/>
      <c r="QQJ23" s="623"/>
      <c r="QQK23" s="623"/>
      <c r="QQL23" s="623"/>
      <c r="QQM23" s="623"/>
      <c r="QQN23" s="623"/>
      <c r="QQO23" s="623"/>
      <c r="QQP23" s="623"/>
      <c r="QQQ23" s="623"/>
      <c r="QQR23" s="623"/>
      <c r="QQS23" s="623"/>
      <c r="QQT23" s="623"/>
      <c r="QQU23" s="623"/>
      <c r="QQV23" s="623"/>
      <c r="QQW23" s="623"/>
      <c r="QQX23" s="623"/>
      <c r="QQY23" s="623"/>
      <c r="QQZ23" s="623"/>
      <c r="QRA23" s="623"/>
      <c r="QRB23" s="623"/>
      <c r="QRC23" s="623"/>
      <c r="QRD23" s="623"/>
      <c r="QRE23" s="623"/>
      <c r="QRF23" s="623"/>
      <c r="QRG23" s="623"/>
      <c r="QRH23" s="623"/>
      <c r="QRI23" s="623"/>
      <c r="QRJ23" s="623"/>
      <c r="QRK23" s="623"/>
      <c r="QRL23" s="623"/>
      <c r="QRM23" s="623"/>
      <c r="QRN23" s="623"/>
      <c r="QRO23" s="623"/>
      <c r="QRP23" s="623"/>
      <c r="QRQ23" s="623"/>
      <c r="QRR23" s="623"/>
      <c r="QRS23" s="623"/>
      <c r="QRT23" s="623"/>
      <c r="QRU23" s="623"/>
      <c r="QRV23" s="623"/>
      <c r="QRW23" s="623"/>
      <c r="QRX23" s="623"/>
      <c r="QRY23" s="623"/>
      <c r="QRZ23" s="623"/>
      <c r="QSA23" s="623"/>
      <c r="QSB23" s="623"/>
      <c r="QSC23" s="623"/>
      <c r="QSD23" s="623"/>
      <c r="QSE23" s="623"/>
      <c r="QSF23" s="623"/>
      <c r="QSG23" s="623"/>
      <c r="QSH23" s="623"/>
      <c r="QSI23" s="623"/>
      <c r="QSJ23" s="623"/>
      <c r="QSK23" s="623"/>
      <c r="QSL23" s="623"/>
      <c r="QSM23" s="623"/>
      <c r="QSN23" s="623"/>
      <c r="QSO23" s="623"/>
      <c r="QSP23" s="623"/>
      <c r="QSQ23" s="623"/>
      <c r="QSR23" s="623"/>
      <c r="QSS23" s="623"/>
      <c r="QST23" s="623"/>
      <c r="QSU23" s="623"/>
      <c r="QSV23" s="623"/>
      <c r="QSW23" s="623"/>
      <c r="QSX23" s="623"/>
      <c r="QSY23" s="623"/>
      <c r="QSZ23" s="623"/>
      <c r="QTA23" s="623"/>
      <c r="QTB23" s="623"/>
      <c r="QTC23" s="623"/>
      <c r="QTD23" s="623"/>
      <c r="QTE23" s="623"/>
      <c r="QTF23" s="623"/>
      <c r="QTG23" s="623"/>
      <c r="QTH23" s="623"/>
      <c r="QTI23" s="623"/>
      <c r="QTJ23" s="623"/>
      <c r="QTK23" s="623"/>
      <c r="QTL23" s="623"/>
      <c r="QTM23" s="623"/>
      <c r="QTN23" s="623"/>
      <c r="QTO23" s="623"/>
      <c r="QTP23" s="623"/>
      <c r="QTQ23" s="623"/>
      <c r="QTR23" s="623"/>
      <c r="QTS23" s="623"/>
      <c r="QTT23" s="623"/>
      <c r="QTU23" s="623"/>
      <c r="QTV23" s="623"/>
      <c r="QTW23" s="623"/>
      <c r="QTX23" s="623"/>
      <c r="QTY23" s="623"/>
      <c r="QTZ23" s="623"/>
      <c r="QUA23" s="623"/>
      <c r="QUB23" s="623"/>
      <c r="QUC23" s="623"/>
      <c r="QUD23" s="623"/>
      <c r="QUE23" s="623"/>
      <c r="QUF23" s="623"/>
      <c r="QUG23" s="623"/>
      <c r="QUH23" s="623"/>
      <c r="QUI23" s="623"/>
      <c r="QUJ23" s="623"/>
      <c r="QUK23" s="623"/>
      <c r="QUL23" s="623"/>
      <c r="QUM23" s="623"/>
      <c r="QUN23" s="623"/>
      <c r="QUO23" s="623"/>
      <c r="QUP23" s="623"/>
      <c r="QUQ23" s="623"/>
      <c r="QUR23" s="623"/>
      <c r="QUS23" s="623"/>
      <c r="QUT23" s="623"/>
      <c r="QUU23" s="623"/>
      <c r="QUV23" s="623"/>
      <c r="QUW23" s="623"/>
      <c r="QUX23" s="623"/>
      <c r="QUY23" s="623"/>
      <c r="QUZ23" s="623"/>
      <c r="QVA23" s="623"/>
      <c r="QVB23" s="623"/>
      <c r="QVC23" s="623"/>
      <c r="QVD23" s="623"/>
      <c r="QVE23" s="623"/>
      <c r="QVF23" s="623"/>
      <c r="QVG23" s="623"/>
      <c r="QVH23" s="623"/>
      <c r="QVI23" s="623"/>
      <c r="QVJ23" s="623"/>
      <c r="QVK23" s="623"/>
      <c r="QVL23" s="623"/>
      <c r="QVM23" s="623"/>
      <c r="QVN23" s="623"/>
      <c r="QVO23" s="623"/>
      <c r="QVP23" s="623"/>
      <c r="QVQ23" s="623"/>
      <c r="QVR23" s="623"/>
      <c r="QVS23" s="623"/>
      <c r="QVT23" s="623"/>
      <c r="QVU23" s="623"/>
      <c r="QVV23" s="623"/>
      <c r="QVW23" s="623"/>
      <c r="QVX23" s="623"/>
      <c r="QVY23" s="623"/>
      <c r="QVZ23" s="623"/>
      <c r="QWA23" s="623"/>
      <c r="QWB23" s="623"/>
      <c r="QWC23" s="623"/>
      <c r="QWD23" s="623"/>
      <c r="QWE23" s="623"/>
      <c r="QWF23" s="623"/>
      <c r="QWG23" s="623"/>
      <c r="QWH23" s="623"/>
      <c r="QWI23" s="623"/>
      <c r="QWJ23" s="623"/>
      <c r="QWK23" s="623"/>
      <c r="QWL23" s="623"/>
      <c r="QWM23" s="623"/>
      <c r="QWN23" s="623"/>
      <c r="QWO23" s="623"/>
      <c r="QWP23" s="623"/>
      <c r="QWQ23" s="623"/>
      <c r="QWR23" s="623"/>
      <c r="QWS23" s="623"/>
      <c r="QWT23" s="623"/>
      <c r="QWU23" s="623"/>
      <c r="QWV23" s="623"/>
      <c r="QWW23" s="623"/>
      <c r="QWX23" s="623"/>
      <c r="QWY23" s="623"/>
      <c r="QWZ23" s="623"/>
      <c r="QXA23" s="623"/>
      <c r="QXB23" s="623"/>
      <c r="QXC23" s="623"/>
      <c r="QXD23" s="623"/>
      <c r="QXE23" s="623"/>
      <c r="QXF23" s="623"/>
      <c r="QXG23" s="623"/>
      <c r="QXH23" s="623"/>
      <c r="QXI23" s="623"/>
      <c r="QXJ23" s="623"/>
      <c r="QXK23" s="623"/>
      <c r="QXL23" s="623"/>
      <c r="QXM23" s="623"/>
      <c r="QXN23" s="623"/>
      <c r="QXO23" s="623"/>
      <c r="QXP23" s="623"/>
      <c r="QXQ23" s="623"/>
      <c r="QXR23" s="623"/>
      <c r="QXS23" s="623"/>
      <c r="QXT23" s="623"/>
      <c r="QXU23" s="623"/>
      <c r="QXV23" s="623"/>
      <c r="QXW23" s="623"/>
      <c r="QXX23" s="623"/>
      <c r="QXY23" s="623"/>
      <c r="QXZ23" s="623"/>
      <c r="QYA23" s="623"/>
      <c r="QYB23" s="623"/>
      <c r="QYC23" s="623"/>
      <c r="QYD23" s="623"/>
      <c r="QYE23" s="623"/>
      <c r="QYF23" s="623"/>
      <c r="QYG23" s="623"/>
      <c r="QYH23" s="623"/>
      <c r="QYI23" s="623"/>
      <c r="QYJ23" s="623"/>
      <c r="QYK23" s="623"/>
      <c r="QYL23" s="623"/>
      <c r="QYM23" s="623"/>
      <c r="QYN23" s="623"/>
      <c r="QYO23" s="623"/>
      <c r="QYP23" s="623"/>
      <c r="QYQ23" s="623"/>
      <c r="QYR23" s="623"/>
      <c r="QYS23" s="623"/>
      <c r="QYT23" s="623"/>
      <c r="QYU23" s="623"/>
      <c r="QYV23" s="623"/>
      <c r="QYW23" s="623"/>
      <c r="QYX23" s="623"/>
      <c r="QYY23" s="623"/>
      <c r="QYZ23" s="623"/>
      <c r="QZA23" s="623"/>
      <c r="QZB23" s="623"/>
      <c r="QZC23" s="623"/>
      <c r="QZD23" s="623"/>
      <c r="QZE23" s="623"/>
      <c r="QZF23" s="623"/>
      <c r="QZG23" s="623"/>
      <c r="QZH23" s="623"/>
      <c r="QZI23" s="623"/>
      <c r="QZJ23" s="623"/>
      <c r="QZK23" s="623"/>
      <c r="QZL23" s="623"/>
      <c r="QZM23" s="623"/>
      <c r="QZN23" s="623"/>
      <c r="QZO23" s="623"/>
      <c r="QZP23" s="623"/>
      <c r="QZQ23" s="623"/>
      <c r="QZR23" s="623"/>
      <c r="QZS23" s="623"/>
      <c r="QZT23" s="623"/>
      <c r="QZU23" s="623"/>
      <c r="QZV23" s="623"/>
      <c r="QZW23" s="623"/>
      <c r="QZX23" s="623"/>
      <c r="QZY23" s="623"/>
      <c r="QZZ23" s="623"/>
      <c r="RAA23" s="623"/>
      <c r="RAB23" s="623"/>
      <c r="RAC23" s="623"/>
      <c r="RAD23" s="623"/>
      <c r="RAE23" s="623"/>
      <c r="RAF23" s="623"/>
      <c r="RAG23" s="623"/>
      <c r="RAH23" s="623"/>
      <c r="RAI23" s="623"/>
      <c r="RAJ23" s="623"/>
      <c r="RAK23" s="623"/>
      <c r="RAL23" s="623"/>
      <c r="RAM23" s="623"/>
      <c r="RAN23" s="623"/>
      <c r="RAO23" s="623"/>
      <c r="RAP23" s="623"/>
      <c r="RAQ23" s="623"/>
      <c r="RAR23" s="623"/>
      <c r="RAS23" s="623"/>
      <c r="RAT23" s="623"/>
      <c r="RAU23" s="623"/>
      <c r="RAV23" s="623"/>
      <c r="RAW23" s="623"/>
      <c r="RAX23" s="623"/>
      <c r="RAY23" s="623"/>
      <c r="RAZ23" s="623"/>
      <c r="RBA23" s="623"/>
      <c r="RBB23" s="623"/>
      <c r="RBC23" s="623"/>
      <c r="RBD23" s="623"/>
      <c r="RBE23" s="623"/>
      <c r="RBF23" s="623"/>
      <c r="RBG23" s="623"/>
      <c r="RBH23" s="623"/>
      <c r="RBI23" s="623"/>
      <c r="RBJ23" s="623"/>
      <c r="RBK23" s="623"/>
      <c r="RBL23" s="623"/>
      <c r="RBM23" s="623"/>
      <c r="RBN23" s="623"/>
      <c r="RBO23" s="623"/>
      <c r="RBP23" s="623"/>
      <c r="RBQ23" s="623"/>
      <c r="RBR23" s="623"/>
      <c r="RBS23" s="623"/>
      <c r="RBT23" s="623"/>
      <c r="RBU23" s="623"/>
      <c r="RBV23" s="623"/>
      <c r="RBW23" s="623"/>
      <c r="RBX23" s="623"/>
      <c r="RBY23" s="623"/>
      <c r="RBZ23" s="623"/>
      <c r="RCA23" s="623"/>
      <c r="RCB23" s="623"/>
      <c r="RCC23" s="623"/>
      <c r="RCD23" s="623"/>
      <c r="RCE23" s="623"/>
      <c r="RCF23" s="623"/>
      <c r="RCG23" s="623"/>
      <c r="RCH23" s="623"/>
      <c r="RCI23" s="623"/>
      <c r="RCJ23" s="623"/>
      <c r="RCK23" s="623"/>
      <c r="RCL23" s="623"/>
      <c r="RCM23" s="623"/>
      <c r="RCN23" s="623"/>
      <c r="RCO23" s="623"/>
      <c r="RCP23" s="623"/>
      <c r="RCQ23" s="623"/>
      <c r="RCR23" s="623"/>
      <c r="RCS23" s="623"/>
      <c r="RCT23" s="623"/>
      <c r="RCU23" s="623"/>
      <c r="RCV23" s="623"/>
      <c r="RCW23" s="623"/>
      <c r="RCX23" s="623"/>
      <c r="RCY23" s="623"/>
      <c r="RCZ23" s="623"/>
      <c r="RDA23" s="623"/>
      <c r="RDB23" s="623"/>
      <c r="RDC23" s="623"/>
      <c r="RDD23" s="623"/>
      <c r="RDE23" s="623"/>
      <c r="RDF23" s="623"/>
      <c r="RDG23" s="623"/>
      <c r="RDH23" s="623"/>
      <c r="RDI23" s="623"/>
      <c r="RDJ23" s="623"/>
      <c r="RDK23" s="623"/>
      <c r="RDL23" s="623"/>
      <c r="RDM23" s="623"/>
      <c r="RDN23" s="623"/>
      <c r="RDO23" s="623"/>
      <c r="RDP23" s="623"/>
      <c r="RDQ23" s="623"/>
      <c r="RDR23" s="623"/>
      <c r="RDS23" s="623"/>
      <c r="RDT23" s="623"/>
      <c r="RDU23" s="623"/>
      <c r="RDV23" s="623"/>
      <c r="RDW23" s="623"/>
      <c r="RDX23" s="623"/>
      <c r="RDY23" s="623"/>
      <c r="RDZ23" s="623"/>
      <c r="REA23" s="623"/>
      <c r="REB23" s="623"/>
      <c r="REC23" s="623"/>
      <c r="RED23" s="623"/>
      <c r="REE23" s="623"/>
      <c r="REF23" s="623"/>
      <c r="REG23" s="623"/>
      <c r="REH23" s="623"/>
      <c r="REI23" s="623"/>
      <c r="REJ23" s="623"/>
      <c r="REK23" s="623"/>
      <c r="REL23" s="623"/>
      <c r="REM23" s="623"/>
      <c r="REN23" s="623"/>
      <c r="REO23" s="623"/>
      <c r="REP23" s="623"/>
      <c r="REQ23" s="623"/>
      <c r="RER23" s="623"/>
      <c r="RES23" s="623"/>
      <c r="RET23" s="623"/>
      <c r="REU23" s="623"/>
      <c r="REV23" s="623"/>
      <c r="REW23" s="623"/>
      <c r="REX23" s="623"/>
      <c r="REY23" s="623"/>
      <c r="REZ23" s="623"/>
      <c r="RFA23" s="623"/>
      <c r="RFB23" s="623"/>
      <c r="RFC23" s="623"/>
      <c r="RFD23" s="623"/>
      <c r="RFE23" s="623"/>
      <c r="RFF23" s="623"/>
      <c r="RFG23" s="623"/>
      <c r="RFH23" s="623"/>
      <c r="RFI23" s="623"/>
      <c r="RFJ23" s="623"/>
      <c r="RFK23" s="623"/>
      <c r="RFL23" s="623"/>
      <c r="RFM23" s="623"/>
      <c r="RFN23" s="623"/>
      <c r="RFO23" s="623"/>
      <c r="RFP23" s="623"/>
      <c r="RFQ23" s="623"/>
      <c r="RFR23" s="623"/>
      <c r="RFS23" s="623"/>
      <c r="RFT23" s="623"/>
      <c r="RFU23" s="623"/>
      <c r="RFV23" s="623"/>
      <c r="RFW23" s="623"/>
      <c r="RFX23" s="623"/>
      <c r="RFY23" s="623"/>
      <c r="RFZ23" s="623"/>
      <c r="RGA23" s="623"/>
      <c r="RGB23" s="623"/>
      <c r="RGC23" s="623"/>
      <c r="RGD23" s="623"/>
      <c r="RGE23" s="623"/>
      <c r="RGF23" s="623"/>
      <c r="RGG23" s="623"/>
      <c r="RGH23" s="623"/>
      <c r="RGI23" s="623"/>
      <c r="RGJ23" s="623"/>
      <c r="RGK23" s="623"/>
      <c r="RGL23" s="623"/>
      <c r="RGM23" s="623"/>
      <c r="RGN23" s="623"/>
      <c r="RGO23" s="623"/>
      <c r="RGP23" s="623"/>
      <c r="RGQ23" s="623"/>
      <c r="RGR23" s="623"/>
      <c r="RGS23" s="623"/>
      <c r="RGT23" s="623"/>
      <c r="RGU23" s="623"/>
      <c r="RGV23" s="623"/>
      <c r="RGW23" s="623"/>
      <c r="RGX23" s="623"/>
      <c r="RGY23" s="623"/>
      <c r="RGZ23" s="623"/>
      <c r="RHA23" s="623"/>
      <c r="RHB23" s="623"/>
      <c r="RHC23" s="623"/>
      <c r="RHD23" s="623"/>
      <c r="RHE23" s="623"/>
      <c r="RHF23" s="623"/>
      <c r="RHG23" s="623"/>
      <c r="RHH23" s="623"/>
      <c r="RHI23" s="623"/>
      <c r="RHJ23" s="623"/>
      <c r="RHK23" s="623"/>
      <c r="RHL23" s="623"/>
      <c r="RHM23" s="623"/>
      <c r="RHN23" s="623"/>
      <c r="RHO23" s="623"/>
      <c r="RHP23" s="623"/>
      <c r="RHQ23" s="623"/>
      <c r="RHR23" s="623"/>
      <c r="RHS23" s="623"/>
      <c r="RHT23" s="623"/>
      <c r="RHU23" s="623"/>
      <c r="RHV23" s="623"/>
      <c r="RHW23" s="623"/>
      <c r="RHX23" s="623"/>
      <c r="RHY23" s="623"/>
      <c r="RHZ23" s="623"/>
      <c r="RIA23" s="623"/>
      <c r="RIB23" s="623"/>
      <c r="RIC23" s="623"/>
      <c r="RID23" s="623"/>
      <c r="RIE23" s="623"/>
      <c r="RIF23" s="623"/>
      <c r="RIG23" s="623"/>
      <c r="RIH23" s="623"/>
      <c r="RII23" s="623"/>
      <c r="RIJ23" s="623"/>
      <c r="RIK23" s="623"/>
      <c r="RIL23" s="623"/>
      <c r="RIM23" s="623"/>
      <c r="RIN23" s="623"/>
      <c r="RIO23" s="623"/>
      <c r="RIP23" s="623"/>
      <c r="RIQ23" s="623"/>
      <c r="RIR23" s="623"/>
      <c r="RIS23" s="623"/>
      <c r="RIT23" s="623"/>
      <c r="RIU23" s="623"/>
      <c r="RIV23" s="623"/>
      <c r="RIW23" s="623"/>
      <c r="RIX23" s="623"/>
      <c r="RIY23" s="623"/>
      <c r="RIZ23" s="623"/>
      <c r="RJA23" s="623"/>
      <c r="RJB23" s="623"/>
      <c r="RJC23" s="623"/>
      <c r="RJD23" s="623"/>
      <c r="RJE23" s="623"/>
      <c r="RJF23" s="623"/>
      <c r="RJG23" s="623"/>
      <c r="RJH23" s="623"/>
      <c r="RJI23" s="623"/>
      <c r="RJJ23" s="623"/>
      <c r="RJK23" s="623"/>
      <c r="RJL23" s="623"/>
      <c r="RJM23" s="623"/>
      <c r="RJN23" s="623"/>
      <c r="RJO23" s="623"/>
      <c r="RJP23" s="623"/>
      <c r="RJQ23" s="623"/>
      <c r="RJR23" s="623"/>
      <c r="RJS23" s="623"/>
      <c r="RJT23" s="623"/>
      <c r="RJU23" s="623"/>
      <c r="RJV23" s="623"/>
      <c r="RJW23" s="623"/>
      <c r="RJX23" s="623"/>
      <c r="RJY23" s="623"/>
      <c r="RJZ23" s="623"/>
      <c r="RKA23" s="623"/>
      <c r="RKB23" s="623"/>
      <c r="RKC23" s="623"/>
      <c r="RKD23" s="623"/>
      <c r="RKE23" s="623"/>
      <c r="RKF23" s="623"/>
      <c r="RKG23" s="623"/>
      <c r="RKH23" s="623"/>
      <c r="RKI23" s="623"/>
      <c r="RKJ23" s="623"/>
      <c r="RKK23" s="623"/>
      <c r="RKL23" s="623"/>
      <c r="RKM23" s="623"/>
      <c r="RKN23" s="623"/>
      <c r="RKO23" s="623"/>
      <c r="RKP23" s="623"/>
      <c r="RKQ23" s="623"/>
      <c r="RKR23" s="623"/>
      <c r="RKS23" s="623"/>
      <c r="RKT23" s="623"/>
      <c r="RKU23" s="623"/>
      <c r="RKV23" s="623"/>
      <c r="RKW23" s="623"/>
      <c r="RKX23" s="623"/>
      <c r="RKY23" s="623"/>
      <c r="RKZ23" s="623"/>
      <c r="RLA23" s="623"/>
      <c r="RLB23" s="623"/>
      <c r="RLC23" s="623"/>
      <c r="RLD23" s="623"/>
      <c r="RLE23" s="623"/>
      <c r="RLF23" s="623"/>
      <c r="RLG23" s="623"/>
      <c r="RLH23" s="623"/>
      <c r="RLI23" s="623"/>
      <c r="RLJ23" s="623"/>
      <c r="RLK23" s="623"/>
      <c r="RLL23" s="623"/>
      <c r="RLM23" s="623"/>
      <c r="RLN23" s="623"/>
      <c r="RLO23" s="623"/>
      <c r="RLP23" s="623"/>
      <c r="RLQ23" s="623"/>
      <c r="RLR23" s="623"/>
      <c r="RLS23" s="623"/>
      <c r="RLT23" s="623"/>
      <c r="RLU23" s="623"/>
      <c r="RLV23" s="623"/>
      <c r="RLW23" s="623"/>
      <c r="RLX23" s="623"/>
      <c r="RLY23" s="623"/>
      <c r="RLZ23" s="623"/>
      <c r="RMA23" s="623"/>
      <c r="RMB23" s="623"/>
      <c r="RMC23" s="623"/>
      <c r="RMD23" s="623"/>
      <c r="RME23" s="623"/>
      <c r="RMF23" s="623"/>
      <c r="RMG23" s="623"/>
      <c r="RMH23" s="623"/>
      <c r="RMI23" s="623"/>
      <c r="RMJ23" s="623"/>
      <c r="RMK23" s="623"/>
      <c r="RML23" s="623"/>
      <c r="RMM23" s="623"/>
      <c r="RMN23" s="623"/>
      <c r="RMO23" s="623"/>
      <c r="RMP23" s="623"/>
      <c r="RMQ23" s="623"/>
      <c r="RMR23" s="623"/>
      <c r="RMS23" s="623"/>
      <c r="RMT23" s="623"/>
      <c r="RMU23" s="623"/>
      <c r="RMV23" s="623"/>
      <c r="RMW23" s="623"/>
      <c r="RMX23" s="623"/>
      <c r="RMY23" s="623"/>
      <c r="RMZ23" s="623"/>
      <c r="RNA23" s="623"/>
      <c r="RNB23" s="623"/>
      <c r="RNC23" s="623"/>
      <c r="RND23" s="623"/>
      <c r="RNE23" s="623"/>
      <c r="RNF23" s="623"/>
      <c r="RNG23" s="623"/>
      <c r="RNH23" s="623"/>
      <c r="RNI23" s="623"/>
      <c r="RNJ23" s="623"/>
      <c r="RNK23" s="623"/>
      <c r="RNL23" s="623"/>
      <c r="RNM23" s="623"/>
      <c r="RNN23" s="623"/>
      <c r="RNO23" s="623"/>
      <c r="RNP23" s="623"/>
      <c r="RNQ23" s="623"/>
      <c r="RNR23" s="623"/>
      <c r="RNS23" s="623"/>
      <c r="RNT23" s="623"/>
      <c r="RNU23" s="623"/>
      <c r="RNV23" s="623"/>
      <c r="RNW23" s="623"/>
      <c r="RNX23" s="623"/>
      <c r="RNY23" s="623"/>
      <c r="RNZ23" s="623"/>
      <c r="ROA23" s="623"/>
      <c r="ROB23" s="623"/>
      <c r="ROC23" s="623"/>
      <c r="ROD23" s="623"/>
      <c r="ROE23" s="623"/>
      <c r="ROF23" s="623"/>
      <c r="ROG23" s="623"/>
      <c r="ROH23" s="623"/>
      <c r="ROI23" s="623"/>
      <c r="ROJ23" s="623"/>
      <c r="ROK23" s="623"/>
      <c r="ROL23" s="623"/>
      <c r="ROM23" s="623"/>
      <c r="RON23" s="623"/>
      <c r="ROO23" s="623"/>
      <c r="ROP23" s="623"/>
      <c r="ROQ23" s="623"/>
      <c r="ROR23" s="623"/>
      <c r="ROS23" s="623"/>
      <c r="ROT23" s="623"/>
      <c r="ROU23" s="623"/>
      <c r="ROV23" s="623"/>
      <c r="ROW23" s="623"/>
      <c r="ROX23" s="623"/>
      <c r="ROY23" s="623"/>
      <c r="ROZ23" s="623"/>
      <c r="RPA23" s="623"/>
      <c r="RPB23" s="623"/>
      <c r="RPC23" s="623"/>
      <c r="RPD23" s="623"/>
      <c r="RPE23" s="623"/>
      <c r="RPF23" s="623"/>
      <c r="RPG23" s="623"/>
      <c r="RPH23" s="623"/>
      <c r="RPI23" s="623"/>
      <c r="RPJ23" s="623"/>
      <c r="RPK23" s="623"/>
      <c r="RPL23" s="623"/>
      <c r="RPM23" s="623"/>
      <c r="RPN23" s="623"/>
      <c r="RPO23" s="623"/>
      <c r="RPP23" s="623"/>
      <c r="RPQ23" s="623"/>
      <c r="RPR23" s="623"/>
      <c r="RPS23" s="623"/>
      <c r="RPT23" s="623"/>
      <c r="RPU23" s="623"/>
      <c r="RPV23" s="623"/>
      <c r="RPW23" s="623"/>
      <c r="RPX23" s="623"/>
      <c r="RPY23" s="623"/>
      <c r="RPZ23" s="623"/>
      <c r="RQA23" s="623"/>
      <c r="RQB23" s="623"/>
      <c r="RQC23" s="623"/>
      <c r="RQD23" s="623"/>
      <c r="RQE23" s="623"/>
      <c r="RQF23" s="623"/>
      <c r="RQG23" s="623"/>
      <c r="RQH23" s="623"/>
      <c r="RQI23" s="623"/>
      <c r="RQJ23" s="623"/>
      <c r="RQK23" s="623"/>
      <c r="RQL23" s="623"/>
      <c r="RQM23" s="623"/>
      <c r="RQN23" s="623"/>
      <c r="RQO23" s="623"/>
      <c r="RQP23" s="623"/>
      <c r="RQQ23" s="623"/>
      <c r="RQR23" s="623"/>
      <c r="RQS23" s="623"/>
      <c r="RQT23" s="623"/>
      <c r="RQU23" s="623"/>
      <c r="RQV23" s="623"/>
      <c r="RQW23" s="623"/>
      <c r="RQX23" s="623"/>
      <c r="RQY23" s="623"/>
      <c r="RQZ23" s="623"/>
      <c r="RRA23" s="623"/>
      <c r="RRB23" s="623"/>
      <c r="RRC23" s="623"/>
      <c r="RRD23" s="623"/>
      <c r="RRE23" s="623"/>
      <c r="RRF23" s="623"/>
      <c r="RRG23" s="623"/>
      <c r="RRH23" s="623"/>
      <c r="RRI23" s="623"/>
      <c r="RRJ23" s="623"/>
      <c r="RRK23" s="623"/>
      <c r="RRL23" s="623"/>
      <c r="RRM23" s="623"/>
      <c r="RRN23" s="623"/>
      <c r="RRO23" s="623"/>
      <c r="RRP23" s="623"/>
      <c r="RRQ23" s="623"/>
      <c r="RRR23" s="623"/>
      <c r="RRS23" s="623"/>
      <c r="RRT23" s="623"/>
      <c r="RRU23" s="623"/>
      <c r="RRV23" s="623"/>
      <c r="RRW23" s="623"/>
      <c r="RRX23" s="623"/>
      <c r="RRY23" s="623"/>
      <c r="RRZ23" s="623"/>
      <c r="RSA23" s="623"/>
      <c r="RSB23" s="623"/>
      <c r="RSC23" s="623"/>
      <c r="RSD23" s="623"/>
      <c r="RSE23" s="623"/>
      <c r="RSF23" s="623"/>
      <c r="RSG23" s="623"/>
      <c r="RSH23" s="623"/>
      <c r="RSI23" s="623"/>
      <c r="RSJ23" s="623"/>
      <c r="RSK23" s="623"/>
      <c r="RSL23" s="623"/>
      <c r="RSM23" s="623"/>
      <c r="RSN23" s="623"/>
      <c r="RSO23" s="623"/>
      <c r="RSP23" s="623"/>
      <c r="RSQ23" s="623"/>
      <c r="RSR23" s="623"/>
      <c r="RSS23" s="623"/>
      <c r="RST23" s="623"/>
      <c r="RSU23" s="623"/>
      <c r="RSV23" s="623"/>
      <c r="RSW23" s="623"/>
      <c r="RSX23" s="623"/>
      <c r="RSY23" s="623"/>
      <c r="RSZ23" s="623"/>
      <c r="RTA23" s="623"/>
      <c r="RTB23" s="623"/>
      <c r="RTC23" s="623"/>
      <c r="RTD23" s="623"/>
      <c r="RTE23" s="623"/>
      <c r="RTF23" s="623"/>
      <c r="RTG23" s="623"/>
      <c r="RTH23" s="623"/>
      <c r="RTI23" s="623"/>
      <c r="RTJ23" s="623"/>
      <c r="RTK23" s="623"/>
      <c r="RTL23" s="623"/>
      <c r="RTM23" s="623"/>
      <c r="RTN23" s="623"/>
      <c r="RTO23" s="623"/>
      <c r="RTP23" s="623"/>
      <c r="RTQ23" s="623"/>
      <c r="RTR23" s="623"/>
      <c r="RTS23" s="623"/>
      <c r="RTT23" s="623"/>
      <c r="RTU23" s="623"/>
      <c r="RTV23" s="623"/>
      <c r="RTW23" s="623"/>
      <c r="RTX23" s="623"/>
      <c r="RTY23" s="623"/>
      <c r="RTZ23" s="623"/>
      <c r="RUA23" s="623"/>
      <c r="RUB23" s="623"/>
      <c r="RUC23" s="623"/>
      <c r="RUD23" s="623"/>
      <c r="RUE23" s="623"/>
      <c r="RUF23" s="623"/>
      <c r="RUG23" s="623"/>
      <c r="RUH23" s="623"/>
      <c r="RUI23" s="623"/>
      <c r="RUJ23" s="623"/>
      <c r="RUK23" s="623"/>
      <c r="RUL23" s="623"/>
      <c r="RUM23" s="623"/>
      <c r="RUN23" s="623"/>
      <c r="RUO23" s="623"/>
      <c r="RUP23" s="623"/>
      <c r="RUQ23" s="623"/>
      <c r="RUR23" s="623"/>
      <c r="RUS23" s="623"/>
      <c r="RUT23" s="623"/>
      <c r="RUU23" s="623"/>
      <c r="RUV23" s="623"/>
      <c r="RUW23" s="623"/>
      <c r="RUX23" s="623"/>
      <c r="RUY23" s="623"/>
      <c r="RUZ23" s="623"/>
      <c r="RVA23" s="623"/>
      <c r="RVB23" s="623"/>
      <c r="RVC23" s="623"/>
      <c r="RVD23" s="623"/>
      <c r="RVE23" s="623"/>
      <c r="RVF23" s="623"/>
      <c r="RVG23" s="623"/>
      <c r="RVH23" s="623"/>
      <c r="RVI23" s="623"/>
      <c r="RVJ23" s="623"/>
      <c r="RVK23" s="623"/>
      <c r="RVL23" s="623"/>
      <c r="RVM23" s="623"/>
      <c r="RVN23" s="623"/>
      <c r="RVO23" s="623"/>
      <c r="RVP23" s="623"/>
      <c r="RVQ23" s="623"/>
      <c r="RVR23" s="623"/>
      <c r="RVS23" s="623"/>
      <c r="RVT23" s="623"/>
      <c r="RVU23" s="623"/>
      <c r="RVV23" s="623"/>
      <c r="RVW23" s="623"/>
      <c r="RVX23" s="623"/>
      <c r="RVY23" s="623"/>
      <c r="RVZ23" s="623"/>
      <c r="RWA23" s="623"/>
      <c r="RWB23" s="623"/>
      <c r="RWC23" s="623"/>
      <c r="RWD23" s="623"/>
      <c r="RWE23" s="623"/>
      <c r="RWF23" s="623"/>
      <c r="RWG23" s="623"/>
      <c r="RWH23" s="623"/>
      <c r="RWI23" s="623"/>
      <c r="RWJ23" s="623"/>
      <c r="RWK23" s="623"/>
      <c r="RWL23" s="623"/>
      <c r="RWM23" s="623"/>
      <c r="RWN23" s="623"/>
      <c r="RWO23" s="623"/>
      <c r="RWP23" s="623"/>
      <c r="RWQ23" s="623"/>
      <c r="RWR23" s="623"/>
      <c r="RWS23" s="623"/>
      <c r="RWT23" s="623"/>
      <c r="RWU23" s="623"/>
      <c r="RWV23" s="623"/>
      <c r="RWW23" s="623"/>
      <c r="RWX23" s="623"/>
      <c r="RWY23" s="623"/>
      <c r="RWZ23" s="623"/>
      <c r="RXA23" s="623"/>
      <c r="RXB23" s="623"/>
      <c r="RXC23" s="623"/>
      <c r="RXD23" s="623"/>
      <c r="RXE23" s="623"/>
      <c r="RXF23" s="623"/>
      <c r="RXG23" s="623"/>
      <c r="RXH23" s="623"/>
      <c r="RXI23" s="623"/>
      <c r="RXJ23" s="623"/>
      <c r="RXK23" s="623"/>
      <c r="RXL23" s="623"/>
      <c r="RXM23" s="623"/>
      <c r="RXN23" s="623"/>
      <c r="RXO23" s="623"/>
      <c r="RXP23" s="623"/>
      <c r="RXQ23" s="623"/>
      <c r="RXR23" s="623"/>
      <c r="RXS23" s="623"/>
      <c r="RXT23" s="623"/>
      <c r="RXU23" s="623"/>
      <c r="RXV23" s="623"/>
      <c r="RXW23" s="623"/>
      <c r="RXX23" s="623"/>
      <c r="RXY23" s="623"/>
      <c r="RXZ23" s="623"/>
      <c r="RYA23" s="623"/>
      <c r="RYB23" s="623"/>
      <c r="RYC23" s="623"/>
      <c r="RYD23" s="623"/>
      <c r="RYE23" s="623"/>
      <c r="RYF23" s="623"/>
      <c r="RYG23" s="623"/>
      <c r="RYH23" s="623"/>
      <c r="RYI23" s="623"/>
      <c r="RYJ23" s="623"/>
      <c r="RYK23" s="623"/>
      <c r="RYL23" s="623"/>
      <c r="RYM23" s="623"/>
      <c r="RYN23" s="623"/>
      <c r="RYO23" s="623"/>
      <c r="RYP23" s="623"/>
      <c r="RYQ23" s="623"/>
      <c r="RYR23" s="623"/>
      <c r="RYS23" s="623"/>
      <c r="RYT23" s="623"/>
      <c r="RYU23" s="623"/>
      <c r="RYV23" s="623"/>
      <c r="RYW23" s="623"/>
      <c r="RYX23" s="623"/>
      <c r="RYY23" s="623"/>
      <c r="RYZ23" s="623"/>
      <c r="RZA23" s="623"/>
      <c r="RZB23" s="623"/>
      <c r="RZC23" s="623"/>
      <c r="RZD23" s="623"/>
      <c r="RZE23" s="623"/>
      <c r="RZF23" s="623"/>
      <c r="RZG23" s="623"/>
      <c r="RZH23" s="623"/>
      <c r="RZI23" s="623"/>
      <c r="RZJ23" s="623"/>
      <c r="RZK23" s="623"/>
      <c r="RZL23" s="623"/>
      <c r="RZM23" s="623"/>
      <c r="RZN23" s="623"/>
      <c r="RZO23" s="623"/>
      <c r="RZP23" s="623"/>
      <c r="RZQ23" s="623"/>
      <c r="RZR23" s="623"/>
      <c r="RZS23" s="623"/>
      <c r="RZT23" s="623"/>
      <c r="RZU23" s="623"/>
      <c r="RZV23" s="623"/>
      <c r="RZW23" s="623"/>
      <c r="RZX23" s="623"/>
      <c r="RZY23" s="623"/>
      <c r="RZZ23" s="623"/>
      <c r="SAA23" s="623"/>
      <c r="SAB23" s="623"/>
      <c r="SAC23" s="623"/>
      <c r="SAD23" s="623"/>
      <c r="SAE23" s="623"/>
      <c r="SAF23" s="623"/>
      <c r="SAG23" s="623"/>
      <c r="SAH23" s="623"/>
      <c r="SAI23" s="623"/>
      <c r="SAJ23" s="623"/>
      <c r="SAK23" s="623"/>
      <c r="SAL23" s="623"/>
      <c r="SAM23" s="623"/>
      <c r="SAN23" s="623"/>
      <c r="SAO23" s="623"/>
      <c r="SAP23" s="623"/>
      <c r="SAQ23" s="623"/>
      <c r="SAR23" s="623"/>
      <c r="SAS23" s="623"/>
      <c r="SAT23" s="623"/>
      <c r="SAU23" s="623"/>
      <c r="SAV23" s="623"/>
      <c r="SAW23" s="623"/>
      <c r="SAX23" s="623"/>
      <c r="SAY23" s="623"/>
      <c r="SAZ23" s="623"/>
      <c r="SBA23" s="623"/>
      <c r="SBB23" s="623"/>
      <c r="SBC23" s="623"/>
      <c r="SBD23" s="623"/>
      <c r="SBE23" s="623"/>
      <c r="SBF23" s="623"/>
      <c r="SBG23" s="623"/>
      <c r="SBH23" s="623"/>
      <c r="SBI23" s="623"/>
      <c r="SBJ23" s="623"/>
      <c r="SBK23" s="623"/>
      <c r="SBL23" s="623"/>
      <c r="SBM23" s="623"/>
      <c r="SBN23" s="623"/>
      <c r="SBO23" s="623"/>
      <c r="SBP23" s="623"/>
      <c r="SBQ23" s="623"/>
      <c r="SBR23" s="623"/>
      <c r="SBS23" s="623"/>
      <c r="SBT23" s="623"/>
      <c r="SBU23" s="623"/>
      <c r="SBV23" s="623"/>
      <c r="SBW23" s="623"/>
      <c r="SBX23" s="623"/>
      <c r="SBY23" s="623"/>
      <c r="SBZ23" s="623"/>
      <c r="SCA23" s="623"/>
      <c r="SCB23" s="623"/>
      <c r="SCC23" s="623"/>
      <c r="SCD23" s="623"/>
      <c r="SCE23" s="623"/>
      <c r="SCF23" s="623"/>
      <c r="SCG23" s="623"/>
      <c r="SCH23" s="623"/>
      <c r="SCI23" s="623"/>
      <c r="SCJ23" s="623"/>
      <c r="SCK23" s="623"/>
      <c r="SCL23" s="623"/>
      <c r="SCM23" s="623"/>
      <c r="SCN23" s="623"/>
      <c r="SCO23" s="623"/>
      <c r="SCP23" s="623"/>
      <c r="SCQ23" s="623"/>
      <c r="SCR23" s="623"/>
      <c r="SCS23" s="623"/>
      <c r="SCT23" s="623"/>
      <c r="SCU23" s="623"/>
      <c r="SCV23" s="623"/>
      <c r="SCW23" s="623"/>
      <c r="SCX23" s="623"/>
      <c r="SCY23" s="623"/>
      <c r="SCZ23" s="623"/>
      <c r="SDA23" s="623"/>
      <c r="SDB23" s="623"/>
      <c r="SDC23" s="623"/>
      <c r="SDD23" s="623"/>
      <c r="SDE23" s="623"/>
      <c r="SDF23" s="623"/>
      <c r="SDG23" s="623"/>
      <c r="SDH23" s="623"/>
      <c r="SDI23" s="623"/>
      <c r="SDJ23" s="623"/>
      <c r="SDK23" s="623"/>
      <c r="SDL23" s="623"/>
      <c r="SDM23" s="623"/>
      <c r="SDN23" s="623"/>
      <c r="SDO23" s="623"/>
      <c r="SDP23" s="623"/>
      <c r="SDQ23" s="623"/>
      <c r="SDR23" s="623"/>
      <c r="SDS23" s="623"/>
      <c r="SDT23" s="623"/>
      <c r="SDU23" s="623"/>
      <c r="SDV23" s="623"/>
      <c r="SDW23" s="623"/>
      <c r="SDX23" s="623"/>
      <c r="SDY23" s="623"/>
      <c r="SDZ23" s="623"/>
      <c r="SEA23" s="623"/>
      <c r="SEB23" s="623"/>
      <c r="SEC23" s="623"/>
      <c r="SED23" s="623"/>
      <c r="SEE23" s="623"/>
      <c r="SEF23" s="623"/>
      <c r="SEG23" s="623"/>
      <c r="SEH23" s="623"/>
      <c r="SEI23" s="623"/>
      <c r="SEJ23" s="623"/>
      <c r="SEK23" s="623"/>
      <c r="SEL23" s="623"/>
      <c r="SEM23" s="623"/>
      <c r="SEN23" s="623"/>
      <c r="SEO23" s="623"/>
      <c r="SEP23" s="623"/>
      <c r="SEQ23" s="623"/>
      <c r="SER23" s="623"/>
      <c r="SES23" s="623"/>
      <c r="SET23" s="623"/>
      <c r="SEU23" s="623"/>
      <c r="SEV23" s="623"/>
      <c r="SEW23" s="623"/>
      <c r="SEX23" s="623"/>
      <c r="SEY23" s="623"/>
      <c r="SEZ23" s="623"/>
      <c r="SFA23" s="623"/>
      <c r="SFB23" s="623"/>
      <c r="SFC23" s="623"/>
      <c r="SFD23" s="623"/>
      <c r="SFE23" s="623"/>
      <c r="SFF23" s="623"/>
      <c r="SFG23" s="623"/>
      <c r="SFH23" s="623"/>
      <c r="SFI23" s="623"/>
      <c r="SFJ23" s="623"/>
      <c r="SFK23" s="623"/>
      <c r="SFL23" s="623"/>
      <c r="SFM23" s="623"/>
      <c r="SFN23" s="623"/>
      <c r="SFO23" s="623"/>
      <c r="SFP23" s="623"/>
      <c r="SFQ23" s="623"/>
      <c r="SFR23" s="623"/>
      <c r="SFS23" s="623"/>
      <c r="SFT23" s="623"/>
      <c r="SFU23" s="623"/>
      <c r="SFV23" s="623"/>
      <c r="SFW23" s="623"/>
      <c r="SFX23" s="623"/>
      <c r="SFY23" s="623"/>
      <c r="SFZ23" s="623"/>
      <c r="SGA23" s="623"/>
      <c r="SGB23" s="623"/>
      <c r="SGC23" s="623"/>
      <c r="SGD23" s="623"/>
      <c r="SGE23" s="623"/>
      <c r="SGF23" s="623"/>
      <c r="SGG23" s="623"/>
      <c r="SGH23" s="623"/>
      <c r="SGI23" s="623"/>
      <c r="SGJ23" s="623"/>
      <c r="SGK23" s="623"/>
      <c r="SGL23" s="623"/>
      <c r="SGM23" s="623"/>
      <c r="SGN23" s="623"/>
      <c r="SGO23" s="623"/>
      <c r="SGP23" s="623"/>
      <c r="SGQ23" s="623"/>
      <c r="SGR23" s="623"/>
      <c r="SGS23" s="623"/>
      <c r="SGT23" s="623"/>
      <c r="SGU23" s="623"/>
      <c r="SGV23" s="623"/>
      <c r="SGW23" s="623"/>
      <c r="SGX23" s="623"/>
      <c r="SGY23" s="623"/>
      <c r="SGZ23" s="623"/>
      <c r="SHA23" s="623"/>
      <c r="SHB23" s="623"/>
      <c r="SHC23" s="623"/>
      <c r="SHD23" s="623"/>
      <c r="SHE23" s="623"/>
      <c r="SHF23" s="623"/>
      <c r="SHG23" s="623"/>
      <c r="SHH23" s="623"/>
      <c r="SHI23" s="623"/>
      <c r="SHJ23" s="623"/>
      <c r="SHK23" s="623"/>
      <c r="SHL23" s="623"/>
      <c r="SHM23" s="623"/>
      <c r="SHN23" s="623"/>
      <c r="SHO23" s="623"/>
      <c r="SHP23" s="623"/>
      <c r="SHQ23" s="623"/>
      <c r="SHR23" s="623"/>
      <c r="SHS23" s="623"/>
      <c r="SHT23" s="623"/>
      <c r="SHU23" s="623"/>
      <c r="SHV23" s="623"/>
      <c r="SHW23" s="623"/>
      <c r="SHX23" s="623"/>
      <c r="SHY23" s="623"/>
      <c r="SHZ23" s="623"/>
      <c r="SIA23" s="623"/>
      <c r="SIB23" s="623"/>
      <c r="SIC23" s="623"/>
      <c r="SID23" s="623"/>
      <c r="SIE23" s="623"/>
      <c r="SIF23" s="623"/>
      <c r="SIG23" s="623"/>
      <c r="SIH23" s="623"/>
      <c r="SII23" s="623"/>
      <c r="SIJ23" s="623"/>
      <c r="SIK23" s="623"/>
      <c r="SIL23" s="623"/>
      <c r="SIM23" s="623"/>
      <c r="SIN23" s="623"/>
      <c r="SIO23" s="623"/>
      <c r="SIP23" s="623"/>
      <c r="SIQ23" s="623"/>
      <c r="SIR23" s="623"/>
      <c r="SIS23" s="623"/>
      <c r="SIT23" s="623"/>
      <c r="SIU23" s="623"/>
      <c r="SIV23" s="623"/>
      <c r="SIW23" s="623"/>
      <c r="SIX23" s="623"/>
      <c r="SIY23" s="623"/>
      <c r="SIZ23" s="623"/>
      <c r="SJA23" s="623"/>
      <c r="SJB23" s="623"/>
      <c r="SJC23" s="623"/>
      <c r="SJD23" s="623"/>
      <c r="SJE23" s="623"/>
      <c r="SJF23" s="623"/>
      <c r="SJG23" s="623"/>
      <c r="SJH23" s="623"/>
      <c r="SJI23" s="623"/>
      <c r="SJJ23" s="623"/>
      <c r="SJK23" s="623"/>
      <c r="SJL23" s="623"/>
      <c r="SJM23" s="623"/>
      <c r="SJN23" s="623"/>
      <c r="SJO23" s="623"/>
      <c r="SJP23" s="623"/>
      <c r="SJQ23" s="623"/>
      <c r="SJR23" s="623"/>
      <c r="SJS23" s="623"/>
      <c r="SJT23" s="623"/>
      <c r="SJU23" s="623"/>
      <c r="SJV23" s="623"/>
      <c r="SJW23" s="623"/>
      <c r="SJX23" s="623"/>
      <c r="SJY23" s="623"/>
      <c r="SJZ23" s="623"/>
      <c r="SKA23" s="623"/>
      <c r="SKB23" s="623"/>
      <c r="SKC23" s="623"/>
      <c r="SKD23" s="623"/>
      <c r="SKE23" s="623"/>
      <c r="SKF23" s="623"/>
      <c r="SKG23" s="623"/>
      <c r="SKH23" s="623"/>
      <c r="SKI23" s="623"/>
      <c r="SKJ23" s="623"/>
      <c r="SKK23" s="623"/>
      <c r="SKL23" s="623"/>
      <c r="SKM23" s="623"/>
      <c r="SKN23" s="623"/>
      <c r="SKO23" s="623"/>
      <c r="SKP23" s="623"/>
      <c r="SKQ23" s="623"/>
      <c r="SKR23" s="623"/>
      <c r="SKS23" s="623"/>
      <c r="SKT23" s="623"/>
      <c r="SKU23" s="623"/>
      <c r="SKV23" s="623"/>
      <c r="SKW23" s="623"/>
      <c r="SKX23" s="623"/>
      <c r="SKY23" s="623"/>
      <c r="SKZ23" s="623"/>
      <c r="SLA23" s="623"/>
      <c r="SLB23" s="623"/>
      <c r="SLC23" s="623"/>
      <c r="SLD23" s="623"/>
      <c r="SLE23" s="623"/>
      <c r="SLF23" s="623"/>
      <c r="SLG23" s="623"/>
      <c r="SLH23" s="623"/>
      <c r="SLI23" s="623"/>
      <c r="SLJ23" s="623"/>
      <c r="SLK23" s="623"/>
      <c r="SLL23" s="623"/>
      <c r="SLM23" s="623"/>
      <c r="SLN23" s="623"/>
      <c r="SLO23" s="623"/>
      <c r="SLP23" s="623"/>
      <c r="SLQ23" s="623"/>
      <c r="SLR23" s="623"/>
      <c r="SLS23" s="623"/>
      <c r="SLT23" s="623"/>
      <c r="SLU23" s="623"/>
      <c r="SLV23" s="623"/>
      <c r="SLW23" s="623"/>
      <c r="SLX23" s="623"/>
      <c r="SLY23" s="623"/>
      <c r="SLZ23" s="623"/>
      <c r="SMA23" s="623"/>
      <c r="SMB23" s="623"/>
      <c r="SMC23" s="623"/>
      <c r="SMD23" s="623"/>
      <c r="SME23" s="623"/>
      <c r="SMF23" s="623"/>
      <c r="SMG23" s="623"/>
      <c r="SMH23" s="623"/>
      <c r="SMI23" s="623"/>
      <c r="SMJ23" s="623"/>
      <c r="SMK23" s="623"/>
      <c r="SML23" s="623"/>
      <c r="SMM23" s="623"/>
      <c r="SMN23" s="623"/>
      <c r="SMO23" s="623"/>
      <c r="SMP23" s="623"/>
      <c r="SMQ23" s="623"/>
      <c r="SMR23" s="623"/>
      <c r="SMS23" s="623"/>
      <c r="SMT23" s="623"/>
      <c r="SMU23" s="623"/>
      <c r="SMV23" s="623"/>
      <c r="SMW23" s="623"/>
      <c r="SMX23" s="623"/>
      <c r="SMY23" s="623"/>
      <c r="SMZ23" s="623"/>
      <c r="SNA23" s="623"/>
      <c r="SNB23" s="623"/>
      <c r="SNC23" s="623"/>
      <c r="SND23" s="623"/>
      <c r="SNE23" s="623"/>
      <c r="SNF23" s="623"/>
      <c r="SNG23" s="623"/>
      <c r="SNH23" s="623"/>
      <c r="SNI23" s="623"/>
      <c r="SNJ23" s="623"/>
      <c r="SNK23" s="623"/>
      <c r="SNL23" s="623"/>
      <c r="SNM23" s="623"/>
      <c r="SNN23" s="623"/>
      <c r="SNO23" s="623"/>
      <c r="SNP23" s="623"/>
      <c r="SNQ23" s="623"/>
      <c r="SNR23" s="623"/>
      <c r="SNS23" s="623"/>
      <c r="SNT23" s="623"/>
      <c r="SNU23" s="623"/>
      <c r="SNV23" s="623"/>
      <c r="SNW23" s="623"/>
      <c r="SNX23" s="623"/>
      <c r="SNY23" s="623"/>
      <c r="SNZ23" s="623"/>
      <c r="SOA23" s="623"/>
      <c r="SOB23" s="623"/>
      <c r="SOC23" s="623"/>
      <c r="SOD23" s="623"/>
      <c r="SOE23" s="623"/>
      <c r="SOF23" s="623"/>
      <c r="SOG23" s="623"/>
      <c r="SOH23" s="623"/>
      <c r="SOI23" s="623"/>
      <c r="SOJ23" s="623"/>
      <c r="SOK23" s="623"/>
      <c r="SOL23" s="623"/>
      <c r="SOM23" s="623"/>
      <c r="SON23" s="623"/>
      <c r="SOO23" s="623"/>
      <c r="SOP23" s="623"/>
      <c r="SOQ23" s="623"/>
      <c r="SOR23" s="623"/>
      <c r="SOS23" s="623"/>
      <c r="SOT23" s="623"/>
      <c r="SOU23" s="623"/>
      <c r="SOV23" s="623"/>
      <c r="SOW23" s="623"/>
      <c r="SOX23" s="623"/>
      <c r="SOY23" s="623"/>
      <c r="SOZ23" s="623"/>
      <c r="SPA23" s="623"/>
      <c r="SPB23" s="623"/>
      <c r="SPC23" s="623"/>
      <c r="SPD23" s="623"/>
      <c r="SPE23" s="623"/>
      <c r="SPF23" s="623"/>
      <c r="SPG23" s="623"/>
      <c r="SPH23" s="623"/>
      <c r="SPI23" s="623"/>
      <c r="SPJ23" s="623"/>
      <c r="SPK23" s="623"/>
      <c r="SPL23" s="623"/>
      <c r="SPM23" s="623"/>
      <c r="SPN23" s="623"/>
      <c r="SPO23" s="623"/>
      <c r="SPP23" s="623"/>
      <c r="SPQ23" s="623"/>
      <c r="SPR23" s="623"/>
      <c r="SPS23" s="623"/>
      <c r="SPT23" s="623"/>
      <c r="SPU23" s="623"/>
      <c r="SPV23" s="623"/>
      <c r="SPW23" s="623"/>
      <c r="SPX23" s="623"/>
      <c r="SPY23" s="623"/>
      <c r="SPZ23" s="623"/>
      <c r="SQA23" s="623"/>
      <c r="SQB23" s="623"/>
      <c r="SQC23" s="623"/>
      <c r="SQD23" s="623"/>
      <c r="SQE23" s="623"/>
      <c r="SQF23" s="623"/>
      <c r="SQG23" s="623"/>
      <c r="SQH23" s="623"/>
      <c r="SQI23" s="623"/>
      <c r="SQJ23" s="623"/>
      <c r="SQK23" s="623"/>
      <c r="SQL23" s="623"/>
      <c r="SQM23" s="623"/>
      <c r="SQN23" s="623"/>
      <c r="SQO23" s="623"/>
      <c r="SQP23" s="623"/>
      <c r="SQQ23" s="623"/>
      <c r="SQR23" s="623"/>
      <c r="SQS23" s="623"/>
      <c r="SQT23" s="623"/>
      <c r="SQU23" s="623"/>
      <c r="SQV23" s="623"/>
      <c r="SQW23" s="623"/>
      <c r="SQX23" s="623"/>
      <c r="SQY23" s="623"/>
      <c r="SQZ23" s="623"/>
      <c r="SRA23" s="623"/>
      <c r="SRB23" s="623"/>
      <c r="SRC23" s="623"/>
      <c r="SRD23" s="623"/>
      <c r="SRE23" s="623"/>
      <c r="SRF23" s="623"/>
      <c r="SRG23" s="623"/>
      <c r="SRH23" s="623"/>
      <c r="SRI23" s="623"/>
      <c r="SRJ23" s="623"/>
      <c r="SRK23" s="623"/>
      <c r="SRL23" s="623"/>
      <c r="SRM23" s="623"/>
      <c r="SRN23" s="623"/>
      <c r="SRO23" s="623"/>
      <c r="SRP23" s="623"/>
      <c r="SRQ23" s="623"/>
      <c r="SRR23" s="623"/>
      <c r="SRS23" s="623"/>
      <c r="SRT23" s="623"/>
      <c r="SRU23" s="623"/>
      <c r="SRV23" s="623"/>
      <c r="SRW23" s="623"/>
      <c r="SRX23" s="623"/>
      <c r="SRY23" s="623"/>
      <c r="SRZ23" s="623"/>
      <c r="SSA23" s="623"/>
      <c r="SSB23" s="623"/>
      <c r="SSC23" s="623"/>
      <c r="SSD23" s="623"/>
      <c r="SSE23" s="623"/>
      <c r="SSF23" s="623"/>
      <c r="SSG23" s="623"/>
      <c r="SSH23" s="623"/>
      <c r="SSI23" s="623"/>
      <c r="SSJ23" s="623"/>
      <c r="SSK23" s="623"/>
      <c r="SSL23" s="623"/>
      <c r="SSM23" s="623"/>
      <c r="SSN23" s="623"/>
      <c r="SSO23" s="623"/>
      <c r="SSP23" s="623"/>
      <c r="SSQ23" s="623"/>
      <c r="SSR23" s="623"/>
      <c r="SSS23" s="623"/>
      <c r="SST23" s="623"/>
      <c r="SSU23" s="623"/>
      <c r="SSV23" s="623"/>
      <c r="SSW23" s="623"/>
      <c r="SSX23" s="623"/>
      <c r="SSY23" s="623"/>
      <c r="SSZ23" s="623"/>
      <c r="STA23" s="623"/>
      <c r="STB23" s="623"/>
      <c r="STC23" s="623"/>
      <c r="STD23" s="623"/>
      <c r="STE23" s="623"/>
      <c r="STF23" s="623"/>
      <c r="STG23" s="623"/>
      <c r="STH23" s="623"/>
      <c r="STI23" s="623"/>
      <c r="STJ23" s="623"/>
      <c r="STK23" s="623"/>
      <c r="STL23" s="623"/>
      <c r="STM23" s="623"/>
      <c r="STN23" s="623"/>
      <c r="STO23" s="623"/>
      <c r="STP23" s="623"/>
      <c r="STQ23" s="623"/>
      <c r="STR23" s="623"/>
      <c r="STS23" s="623"/>
      <c r="STT23" s="623"/>
      <c r="STU23" s="623"/>
      <c r="STV23" s="623"/>
      <c r="STW23" s="623"/>
      <c r="STX23" s="623"/>
      <c r="STY23" s="623"/>
      <c r="STZ23" s="623"/>
      <c r="SUA23" s="623"/>
      <c r="SUB23" s="623"/>
      <c r="SUC23" s="623"/>
      <c r="SUD23" s="623"/>
      <c r="SUE23" s="623"/>
      <c r="SUF23" s="623"/>
      <c r="SUG23" s="623"/>
      <c r="SUH23" s="623"/>
      <c r="SUI23" s="623"/>
      <c r="SUJ23" s="623"/>
      <c r="SUK23" s="623"/>
      <c r="SUL23" s="623"/>
      <c r="SUM23" s="623"/>
      <c r="SUN23" s="623"/>
      <c r="SUO23" s="623"/>
      <c r="SUP23" s="623"/>
      <c r="SUQ23" s="623"/>
      <c r="SUR23" s="623"/>
      <c r="SUS23" s="623"/>
      <c r="SUT23" s="623"/>
      <c r="SUU23" s="623"/>
      <c r="SUV23" s="623"/>
      <c r="SUW23" s="623"/>
      <c r="SUX23" s="623"/>
      <c r="SUY23" s="623"/>
      <c r="SUZ23" s="623"/>
      <c r="SVA23" s="623"/>
      <c r="SVB23" s="623"/>
      <c r="SVC23" s="623"/>
      <c r="SVD23" s="623"/>
      <c r="SVE23" s="623"/>
      <c r="SVF23" s="623"/>
      <c r="SVG23" s="623"/>
      <c r="SVH23" s="623"/>
      <c r="SVI23" s="623"/>
      <c r="SVJ23" s="623"/>
      <c r="SVK23" s="623"/>
      <c r="SVL23" s="623"/>
      <c r="SVM23" s="623"/>
      <c r="SVN23" s="623"/>
      <c r="SVO23" s="623"/>
      <c r="SVP23" s="623"/>
      <c r="SVQ23" s="623"/>
      <c r="SVR23" s="623"/>
      <c r="SVS23" s="623"/>
      <c r="SVT23" s="623"/>
      <c r="SVU23" s="623"/>
      <c r="SVV23" s="623"/>
      <c r="SVW23" s="623"/>
      <c r="SVX23" s="623"/>
      <c r="SVY23" s="623"/>
      <c r="SVZ23" s="623"/>
      <c r="SWA23" s="623"/>
      <c r="SWB23" s="623"/>
      <c r="SWC23" s="623"/>
      <c r="SWD23" s="623"/>
      <c r="SWE23" s="623"/>
      <c r="SWF23" s="623"/>
      <c r="SWG23" s="623"/>
      <c r="SWH23" s="623"/>
      <c r="SWI23" s="623"/>
      <c r="SWJ23" s="623"/>
      <c r="SWK23" s="623"/>
      <c r="SWL23" s="623"/>
      <c r="SWM23" s="623"/>
      <c r="SWN23" s="623"/>
      <c r="SWO23" s="623"/>
      <c r="SWP23" s="623"/>
      <c r="SWQ23" s="623"/>
      <c r="SWR23" s="623"/>
      <c r="SWS23" s="623"/>
      <c r="SWT23" s="623"/>
      <c r="SWU23" s="623"/>
      <c r="SWV23" s="623"/>
      <c r="SWW23" s="623"/>
      <c r="SWX23" s="623"/>
      <c r="SWY23" s="623"/>
      <c r="SWZ23" s="623"/>
      <c r="SXA23" s="623"/>
      <c r="SXB23" s="623"/>
      <c r="SXC23" s="623"/>
      <c r="SXD23" s="623"/>
      <c r="SXE23" s="623"/>
      <c r="SXF23" s="623"/>
      <c r="SXG23" s="623"/>
      <c r="SXH23" s="623"/>
      <c r="SXI23" s="623"/>
      <c r="SXJ23" s="623"/>
      <c r="SXK23" s="623"/>
      <c r="SXL23" s="623"/>
      <c r="SXM23" s="623"/>
      <c r="SXN23" s="623"/>
      <c r="SXO23" s="623"/>
      <c r="SXP23" s="623"/>
      <c r="SXQ23" s="623"/>
      <c r="SXR23" s="623"/>
      <c r="SXS23" s="623"/>
      <c r="SXT23" s="623"/>
      <c r="SXU23" s="623"/>
      <c r="SXV23" s="623"/>
      <c r="SXW23" s="623"/>
      <c r="SXX23" s="623"/>
      <c r="SXY23" s="623"/>
      <c r="SXZ23" s="623"/>
      <c r="SYA23" s="623"/>
      <c r="SYB23" s="623"/>
      <c r="SYC23" s="623"/>
      <c r="SYD23" s="623"/>
      <c r="SYE23" s="623"/>
      <c r="SYF23" s="623"/>
      <c r="SYG23" s="623"/>
      <c r="SYH23" s="623"/>
      <c r="SYI23" s="623"/>
      <c r="SYJ23" s="623"/>
      <c r="SYK23" s="623"/>
      <c r="SYL23" s="623"/>
      <c r="SYM23" s="623"/>
      <c r="SYN23" s="623"/>
      <c r="SYO23" s="623"/>
      <c r="SYP23" s="623"/>
      <c r="SYQ23" s="623"/>
      <c r="SYR23" s="623"/>
      <c r="SYS23" s="623"/>
      <c r="SYT23" s="623"/>
      <c r="SYU23" s="623"/>
      <c r="SYV23" s="623"/>
      <c r="SYW23" s="623"/>
      <c r="SYX23" s="623"/>
      <c r="SYY23" s="623"/>
      <c r="SYZ23" s="623"/>
      <c r="SZA23" s="623"/>
      <c r="SZB23" s="623"/>
      <c r="SZC23" s="623"/>
      <c r="SZD23" s="623"/>
      <c r="SZE23" s="623"/>
      <c r="SZF23" s="623"/>
      <c r="SZG23" s="623"/>
      <c r="SZH23" s="623"/>
      <c r="SZI23" s="623"/>
      <c r="SZJ23" s="623"/>
      <c r="SZK23" s="623"/>
      <c r="SZL23" s="623"/>
      <c r="SZM23" s="623"/>
      <c r="SZN23" s="623"/>
      <c r="SZO23" s="623"/>
      <c r="SZP23" s="623"/>
      <c r="SZQ23" s="623"/>
      <c r="SZR23" s="623"/>
      <c r="SZS23" s="623"/>
      <c r="SZT23" s="623"/>
      <c r="SZU23" s="623"/>
      <c r="SZV23" s="623"/>
      <c r="SZW23" s="623"/>
      <c r="SZX23" s="623"/>
      <c r="SZY23" s="623"/>
      <c r="SZZ23" s="623"/>
      <c r="TAA23" s="623"/>
      <c r="TAB23" s="623"/>
      <c r="TAC23" s="623"/>
      <c r="TAD23" s="623"/>
      <c r="TAE23" s="623"/>
      <c r="TAF23" s="623"/>
      <c r="TAG23" s="623"/>
      <c r="TAH23" s="623"/>
      <c r="TAI23" s="623"/>
      <c r="TAJ23" s="623"/>
      <c r="TAK23" s="623"/>
      <c r="TAL23" s="623"/>
      <c r="TAM23" s="623"/>
      <c r="TAN23" s="623"/>
      <c r="TAO23" s="623"/>
      <c r="TAP23" s="623"/>
      <c r="TAQ23" s="623"/>
      <c r="TAR23" s="623"/>
      <c r="TAS23" s="623"/>
      <c r="TAT23" s="623"/>
      <c r="TAU23" s="623"/>
      <c r="TAV23" s="623"/>
      <c r="TAW23" s="623"/>
      <c r="TAX23" s="623"/>
      <c r="TAY23" s="623"/>
      <c r="TAZ23" s="623"/>
      <c r="TBA23" s="623"/>
      <c r="TBB23" s="623"/>
      <c r="TBC23" s="623"/>
      <c r="TBD23" s="623"/>
      <c r="TBE23" s="623"/>
      <c r="TBF23" s="623"/>
      <c r="TBG23" s="623"/>
      <c r="TBH23" s="623"/>
      <c r="TBI23" s="623"/>
      <c r="TBJ23" s="623"/>
      <c r="TBK23" s="623"/>
      <c r="TBL23" s="623"/>
      <c r="TBM23" s="623"/>
      <c r="TBN23" s="623"/>
      <c r="TBO23" s="623"/>
      <c r="TBP23" s="623"/>
      <c r="TBQ23" s="623"/>
      <c r="TBR23" s="623"/>
      <c r="TBS23" s="623"/>
      <c r="TBT23" s="623"/>
      <c r="TBU23" s="623"/>
      <c r="TBV23" s="623"/>
      <c r="TBW23" s="623"/>
      <c r="TBX23" s="623"/>
      <c r="TBY23" s="623"/>
      <c r="TBZ23" s="623"/>
      <c r="TCA23" s="623"/>
      <c r="TCB23" s="623"/>
      <c r="TCC23" s="623"/>
      <c r="TCD23" s="623"/>
      <c r="TCE23" s="623"/>
      <c r="TCF23" s="623"/>
      <c r="TCG23" s="623"/>
      <c r="TCH23" s="623"/>
      <c r="TCI23" s="623"/>
      <c r="TCJ23" s="623"/>
      <c r="TCK23" s="623"/>
      <c r="TCL23" s="623"/>
      <c r="TCM23" s="623"/>
      <c r="TCN23" s="623"/>
      <c r="TCO23" s="623"/>
      <c r="TCP23" s="623"/>
      <c r="TCQ23" s="623"/>
      <c r="TCR23" s="623"/>
      <c r="TCS23" s="623"/>
      <c r="TCT23" s="623"/>
      <c r="TCU23" s="623"/>
      <c r="TCV23" s="623"/>
      <c r="TCW23" s="623"/>
      <c r="TCX23" s="623"/>
      <c r="TCY23" s="623"/>
      <c r="TCZ23" s="623"/>
      <c r="TDA23" s="623"/>
      <c r="TDB23" s="623"/>
      <c r="TDC23" s="623"/>
      <c r="TDD23" s="623"/>
      <c r="TDE23" s="623"/>
      <c r="TDF23" s="623"/>
      <c r="TDG23" s="623"/>
      <c r="TDH23" s="623"/>
      <c r="TDI23" s="623"/>
      <c r="TDJ23" s="623"/>
      <c r="TDK23" s="623"/>
      <c r="TDL23" s="623"/>
      <c r="TDM23" s="623"/>
      <c r="TDN23" s="623"/>
      <c r="TDO23" s="623"/>
      <c r="TDP23" s="623"/>
      <c r="TDQ23" s="623"/>
      <c r="TDR23" s="623"/>
      <c r="TDS23" s="623"/>
      <c r="TDT23" s="623"/>
      <c r="TDU23" s="623"/>
      <c r="TDV23" s="623"/>
      <c r="TDW23" s="623"/>
      <c r="TDX23" s="623"/>
      <c r="TDY23" s="623"/>
      <c r="TDZ23" s="623"/>
      <c r="TEA23" s="623"/>
      <c r="TEB23" s="623"/>
      <c r="TEC23" s="623"/>
      <c r="TED23" s="623"/>
      <c r="TEE23" s="623"/>
      <c r="TEF23" s="623"/>
      <c r="TEG23" s="623"/>
      <c r="TEH23" s="623"/>
      <c r="TEI23" s="623"/>
      <c r="TEJ23" s="623"/>
      <c r="TEK23" s="623"/>
      <c r="TEL23" s="623"/>
      <c r="TEM23" s="623"/>
      <c r="TEN23" s="623"/>
      <c r="TEO23" s="623"/>
      <c r="TEP23" s="623"/>
      <c r="TEQ23" s="623"/>
      <c r="TER23" s="623"/>
      <c r="TES23" s="623"/>
      <c r="TET23" s="623"/>
      <c r="TEU23" s="623"/>
      <c r="TEV23" s="623"/>
      <c r="TEW23" s="623"/>
      <c r="TEX23" s="623"/>
      <c r="TEY23" s="623"/>
      <c r="TEZ23" s="623"/>
      <c r="TFA23" s="623"/>
      <c r="TFB23" s="623"/>
      <c r="TFC23" s="623"/>
      <c r="TFD23" s="623"/>
      <c r="TFE23" s="623"/>
      <c r="TFF23" s="623"/>
      <c r="TFG23" s="623"/>
      <c r="TFH23" s="623"/>
      <c r="TFI23" s="623"/>
      <c r="TFJ23" s="623"/>
      <c r="TFK23" s="623"/>
      <c r="TFL23" s="623"/>
      <c r="TFM23" s="623"/>
      <c r="TFN23" s="623"/>
      <c r="TFO23" s="623"/>
      <c r="TFP23" s="623"/>
      <c r="TFQ23" s="623"/>
      <c r="TFR23" s="623"/>
      <c r="TFS23" s="623"/>
      <c r="TFT23" s="623"/>
      <c r="TFU23" s="623"/>
      <c r="TFV23" s="623"/>
      <c r="TFW23" s="623"/>
      <c r="TFX23" s="623"/>
      <c r="TFY23" s="623"/>
      <c r="TFZ23" s="623"/>
      <c r="TGA23" s="623"/>
      <c r="TGB23" s="623"/>
      <c r="TGC23" s="623"/>
      <c r="TGD23" s="623"/>
      <c r="TGE23" s="623"/>
      <c r="TGF23" s="623"/>
      <c r="TGG23" s="623"/>
      <c r="TGH23" s="623"/>
      <c r="TGI23" s="623"/>
      <c r="TGJ23" s="623"/>
      <c r="TGK23" s="623"/>
      <c r="TGL23" s="623"/>
      <c r="TGM23" s="623"/>
      <c r="TGN23" s="623"/>
      <c r="TGO23" s="623"/>
      <c r="TGP23" s="623"/>
      <c r="TGQ23" s="623"/>
      <c r="TGR23" s="623"/>
      <c r="TGS23" s="623"/>
      <c r="TGT23" s="623"/>
      <c r="TGU23" s="623"/>
      <c r="TGV23" s="623"/>
      <c r="TGW23" s="623"/>
      <c r="TGX23" s="623"/>
      <c r="TGY23" s="623"/>
      <c r="TGZ23" s="623"/>
      <c r="THA23" s="623"/>
      <c r="THB23" s="623"/>
      <c r="THC23" s="623"/>
      <c r="THD23" s="623"/>
      <c r="THE23" s="623"/>
      <c r="THF23" s="623"/>
      <c r="THG23" s="623"/>
      <c r="THH23" s="623"/>
      <c r="THI23" s="623"/>
      <c r="THJ23" s="623"/>
      <c r="THK23" s="623"/>
      <c r="THL23" s="623"/>
      <c r="THM23" s="623"/>
      <c r="THN23" s="623"/>
      <c r="THO23" s="623"/>
      <c r="THP23" s="623"/>
      <c r="THQ23" s="623"/>
      <c r="THR23" s="623"/>
      <c r="THS23" s="623"/>
      <c r="THT23" s="623"/>
      <c r="THU23" s="623"/>
      <c r="THV23" s="623"/>
      <c r="THW23" s="623"/>
      <c r="THX23" s="623"/>
      <c r="THY23" s="623"/>
      <c r="THZ23" s="623"/>
      <c r="TIA23" s="623"/>
      <c r="TIB23" s="623"/>
      <c r="TIC23" s="623"/>
      <c r="TID23" s="623"/>
      <c r="TIE23" s="623"/>
      <c r="TIF23" s="623"/>
      <c r="TIG23" s="623"/>
      <c r="TIH23" s="623"/>
      <c r="TII23" s="623"/>
      <c r="TIJ23" s="623"/>
      <c r="TIK23" s="623"/>
      <c r="TIL23" s="623"/>
      <c r="TIM23" s="623"/>
      <c r="TIN23" s="623"/>
      <c r="TIO23" s="623"/>
      <c r="TIP23" s="623"/>
      <c r="TIQ23" s="623"/>
      <c r="TIR23" s="623"/>
      <c r="TIS23" s="623"/>
      <c r="TIT23" s="623"/>
      <c r="TIU23" s="623"/>
      <c r="TIV23" s="623"/>
      <c r="TIW23" s="623"/>
      <c r="TIX23" s="623"/>
      <c r="TIY23" s="623"/>
      <c r="TIZ23" s="623"/>
      <c r="TJA23" s="623"/>
      <c r="TJB23" s="623"/>
      <c r="TJC23" s="623"/>
      <c r="TJD23" s="623"/>
      <c r="TJE23" s="623"/>
      <c r="TJF23" s="623"/>
      <c r="TJG23" s="623"/>
      <c r="TJH23" s="623"/>
      <c r="TJI23" s="623"/>
      <c r="TJJ23" s="623"/>
      <c r="TJK23" s="623"/>
      <c r="TJL23" s="623"/>
      <c r="TJM23" s="623"/>
      <c r="TJN23" s="623"/>
      <c r="TJO23" s="623"/>
      <c r="TJP23" s="623"/>
      <c r="TJQ23" s="623"/>
      <c r="TJR23" s="623"/>
      <c r="TJS23" s="623"/>
      <c r="TJT23" s="623"/>
      <c r="TJU23" s="623"/>
      <c r="TJV23" s="623"/>
      <c r="TJW23" s="623"/>
      <c r="TJX23" s="623"/>
      <c r="TJY23" s="623"/>
      <c r="TJZ23" s="623"/>
      <c r="TKA23" s="623"/>
      <c r="TKB23" s="623"/>
      <c r="TKC23" s="623"/>
      <c r="TKD23" s="623"/>
      <c r="TKE23" s="623"/>
      <c r="TKF23" s="623"/>
      <c r="TKG23" s="623"/>
      <c r="TKH23" s="623"/>
      <c r="TKI23" s="623"/>
      <c r="TKJ23" s="623"/>
      <c r="TKK23" s="623"/>
      <c r="TKL23" s="623"/>
      <c r="TKM23" s="623"/>
      <c r="TKN23" s="623"/>
      <c r="TKO23" s="623"/>
      <c r="TKP23" s="623"/>
      <c r="TKQ23" s="623"/>
      <c r="TKR23" s="623"/>
      <c r="TKS23" s="623"/>
      <c r="TKT23" s="623"/>
      <c r="TKU23" s="623"/>
      <c r="TKV23" s="623"/>
      <c r="TKW23" s="623"/>
      <c r="TKX23" s="623"/>
      <c r="TKY23" s="623"/>
      <c r="TKZ23" s="623"/>
      <c r="TLA23" s="623"/>
      <c r="TLB23" s="623"/>
      <c r="TLC23" s="623"/>
      <c r="TLD23" s="623"/>
      <c r="TLE23" s="623"/>
      <c r="TLF23" s="623"/>
      <c r="TLG23" s="623"/>
      <c r="TLH23" s="623"/>
      <c r="TLI23" s="623"/>
      <c r="TLJ23" s="623"/>
      <c r="TLK23" s="623"/>
      <c r="TLL23" s="623"/>
      <c r="TLM23" s="623"/>
      <c r="TLN23" s="623"/>
      <c r="TLO23" s="623"/>
      <c r="TLP23" s="623"/>
      <c r="TLQ23" s="623"/>
      <c r="TLR23" s="623"/>
      <c r="TLS23" s="623"/>
      <c r="TLT23" s="623"/>
      <c r="TLU23" s="623"/>
      <c r="TLV23" s="623"/>
      <c r="TLW23" s="623"/>
      <c r="TLX23" s="623"/>
      <c r="TLY23" s="623"/>
      <c r="TLZ23" s="623"/>
      <c r="TMA23" s="623"/>
      <c r="TMB23" s="623"/>
      <c r="TMC23" s="623"/>
      <c r="TMD23" s="623"/>
      <c r="TME23" s="623"/>
      <c r="TMF23" s="623"/>
      <c r="TMG23" s="623"/>
      <c r="TMH23" s="623"/>
      <c r="TMI23" s="623"/>
      <c r="TMJ23" s="623"/>
      <c r="TMK23" s="623"/>
      <c r="TML23" s="623"/>
      <c r="TMM23" s="623"/>
      <c r="TMN23" s="623"/>
      <c r="TMO23" s="623"/>
      <c r="TMP23" s="623"/>
      <c r="TMQ23" s="623"/>
      <c r="TMR23" s="623"/>
      <c r="TMS23" s="623"/>
      <c r="TMT23" s="623"/>
      <c r="TMU23" s="623"/>
      <c r="TMV23" s="623"/>
      <c r="TMW23" s="623"/>
      <c r="TMX23" s="623"/>
      <c r="TMY23" s="623"/>
      <c r="TMZ23" s="623"/>
      <c r="TNA23" s="623"/>
      <c r="TNB23" s="623"/>
      <c r="TNC23" s="623"/>
      <c r="TND23" s="623"/>
      <c r="TNE23" s="623"/>
      <c r="TNF23" s="623"/>
      <c r="TNG23" s="623"/>
      <c r="TNH23" s="623"/>
      <c r="TNI23" s="623"/>
      <c r="TNJ23" s="623"/>
      <c r="TNK23" s="623"/>
      <c r="TNL23" s="623"/>
      <c r="TNM23" s="623"/>
      <c r="TNN23" s="623"/>
      <c r="TNO23" s="623"/>
      <c r="TNP23" s="623"/>
      <c r="TNQ23" s="623"/>
      <c r="TNR23" s="623"/>
      <c r="TNS23" s="623"/>
      <c r="TNT23" s="623"/>
      <c r="TNU23" s="623"/>
      <c r="TNV23" s="623"/>
      <c r="TNW23" s="623"/>
      <c r="TNX23" s="623"/>
      <c r="TNY23" s="623"/>
      <c r="TNZ23" s="623"/>
      <c r="TOA23" s="623"/>
      <c r="TOB23" s="623"/>
      <c r="TOC23" s="623"/>
      <c r="TOD23" s="623"/>
      <c r="TOE23" s="623"/>
      <c r="TOF23" s="623"/>
      <c r="TOG23" s="623"/>
      <c r="TOH23" s="623"/>
      <c r="TOI23" s="623"/>
      <c r="TOJ23" s="623"/>
      <c r="TOK23" s="623"/>
      <c r="TOL23" s="623"/>
      <c r="TOM23" s="623"/>
      <c r="TON23" s="623"/>
      <c r="TOO23" s="623"/>
      <c r="TOP23" s="623"/>
      <c r="TOQ23" s="623"/>
      <c r="TOR23" s="623"/>
      <c r="TOS23" s="623"/>
      <c r="TOT23" s="623"/>
      <c r="TOU23" s="623"/>
      <c r="TOV23" s="623"/>
      <c r="TOW23" s="623"/>
      <c r="TOX23" s="623"/>
      <c r="TOY23" s="623"/>
      <c r="TOZ23" s="623"/>
      <c r="TPA23" s="623"/>
      <c r="TPB23" s="623"/>
      <c r="TPC23" s="623"/>
      <c r="TPD23" s="623"/>
      <c r="TPE23" s="623"/>
      <c r="TPF23" s="623"/>
      <c r="TPG23" s="623"/>
      <c r="TPH23" s="623"/>
      <c r="TPI23" s="623"/>
      <c r="TPJ23" s="623"/>
      <c r="TPK23" s="623"/>
      <c r="TPL23" s="623"/>
      <c r="TPM23" s="623"/>
      <c r="TPN23" s="623"/>
      <c r="TPO23" s="623"/>
      <c r="TPP23" s="623"/>
      <c r="TPQ23" s="623"/>
      <c r="TPR23" s="623"/>
      <c r="TPS23" s="623"/>
      <c r="TPT23" s="623"/>
      <c r="TPU23" s="623"/>
      <c r="TPV23" s="623"/>
      <c r="TPW23" s="623"/>
      <c r="TPX23" s="623"/>
      <c r="TPY23" s="623"/>
      <c r="TPZ23" s="623"/>
      <c r="TQA23" s="623"/>
      <c r="TQB23" s="623"/>
      <c r="TQC23" s="623"/>
      <c r="TQD23" s="623"/>
      <c r="TQE23" s="623"/>
      <c r="TQF23" s="623"/>
      <c r="TQG23" s="623"/>
      <c r="TQH23" s="623"/>
      <c r="TQI23" s="623"/>
      <c r="TQJ23" s="623"/>
      <c r="TQK23" s="623"/>
      <c r="TQL23" s="623"/>
      <c r="TQM23" s="623"/>
      <c r="TQN23" s="623"/>
      <c r="TQO23" s="623"/>
      <c r="TQP23" s="623"/>
      <c r="TQQ23" s="623"/>
      <c r="TQR23" s="623"/>
      <c r="TQS23" s="623"/>
      <c r="TQT23" s="623"/>
      <c r="TQU23" s="623"/>
      <c r="TQV23" s="623"/>
      <c r="TQW23" s="623"/>
      <c r="TQX23" s="623"/>
      <c r="TQY23" s="623"/>
      <c r="TQZ23" s="623"/>
      <c r="TRA23" s="623"/>
      <c r="TRB23" s="623"/>
      <c r="TRC23" s="623"/>
      <c r="TRD23" s="623"/>
      <c r="TRE23" s="623"/>
      <c r="TRF23" s="623"/>
      <c r="TRG23" s="623"/>
      <c r="TRH23" s="623"/>
      <c r="TRI23" s="623"/>
      <c r="TRJ23" s="623"/>
      <c r="TRK23" s="623"/>
      <c r="TRL23" s="623"/>
      <c r="TRM23" s="623"/>
      <c r="TRN23" s="623"/>
      <c r="TRO23" s="623"/>
      <c r="TRP23" s="623"/>
      <c r="TRQ23" s="623"/>
      <c r="TRR23" s="623"/>
      <c r="TRS23" s="623"/>
      <c r="TRT23" s="623"/>
      <c r="TRU23" s="623"/>
      <c r="TRV23" s="623"/>
      <c r="TRW23" s="623"/>
      <c r="TRX23" s="623"/>
      <c r="TRY23" s="623"/>
      <c r="TRZ23" s="623"/>
      <c r="TSA23" s="623"/>
      <c r="TSB23" s="623"/>
      <c r="TSC23" s="623"/>
      <c r="TSD23" s="623"/>
      <c r="TSE23" s="623"/>
      <c r="TSF23" s="623"/>
      <c r="TSG23" s="623"/>
      <c r="TSH23" s="623"/>
      <c r="TSI23" s="623"/>
      <c r="TSJ23" s="623"/>
      <c r="TSK23" s="623"/>
      <c r="TSL23" s="623"/>
      <c r="TSM23" s="623"/>
      <c r="TSN23" s="623"/>
      <c r="TSO23" s="623"/>
      <c r="TSP23" s="623"/>
      <c r="TSQ23" s="623"/>
      <c r="TSR23" s="623"/>
      <c r="TSS23" s="623"/>
      <c r="TST23" s="623"/>
      <c r="TSU23" s="623"/>
      <c r="TSV23" s="623"/>
      <c r="TSW23" s="623"/>
      <c r="TSX23" s="623"/>
      <c r="TSY23" s="623"/>
      <c r="TSZ23" s="623"/>
      <c r="TTA23" s="623"/>
      <c r="TTB23" s="623"/>
      <c r="TTC23" s="623"/>
      <c r="TTD23" s="623"/>
      <c r="TTE23" s="623"/>
      <c r="TTF23" s="623"/>
      <c r="TTG23" s="623"/>
      <c r="TTH23" s="623"/>
      <c r="TTI23" s="623"/>
      <c r="TTJ23" s="623"/>
      <c r="TTK23" s="623"/>
      <c r="TTL23" s="623"/>
      <c r="TTM23" s="623"/>
      <c r="TTN23" s="623"/>
      <c r="TTO23" s="623"/>
      <c r="TTP23" s="623"/>
      <c r="TTQ23" s="623"/>
      <c r="TTR23" s="623"/>
      <c r="TTS23" s="623"/>
      <c r="TTT23" s="623"/>
      <c r="TTU23" s="623"/>
      <c r="TTV23" s="623"/>
      <c r="TTW23" s="623"/>
      <c r="TTX23" s="623"/>
      <c r="TTY23" s="623"/>
      <c r="TTZ23" s="623"/>
      <c r="TUA23" s="623"/>
      <c r="TUB23" s="623"/>
      <c r="TUC23" s="623"/>
      <c r="TUD23" s="623"/>
      <c r="TUE23" s="623"/>
      <c r="TUF23" s="623"/>
      <c r="TUG23" s="623"/>
      <c r="TUH23" s="623"/>
      <c r="TUI23" s="623"/>
      <c r="TUJ23" s="623"/>
      <c r="TUK23" s="623"/>
      <c r="TUL23" s="623"/>
      <c r="TUM23" s="623"/>
      <c r="TUN23" s="623"/>
      <c r="TUO23" s="623"/>
      <c r="TUP23" s="623"/>
      <c r="TUQ23" s="623"/>
      <c r="TUR23" s="623"/>
      <c r="TUS23" s="623"/>
      <c r="TUT23" s="623"/>
      <c r="TUU23" s="623"/>
      <c r="TUV23" s="623"/>
      <c r="TUW23" s="623"/>
      <c r="TUX23" s="623"/>
      <c r="TUY23" s="623"/>
      <c r="TUZ23" s="623"/>
      <c r="TVA23" s="623"/>
      <c r="TVB23" s="623"/>
      <c r="TVC23" s="623"/>
      <c r="TVD23" s="623"/>
      <c r="TVE23" s="623"/>
      <c r="TVF23" s="623"/>
      <c r="TVG23" s="623"/>
      <c r="TVH23" s="623"/>
      <c r="TVI23" s="623"/>
      <c r="TVJ23" s="623"/>
      <c r="TVK23" s="623"/>
      <c r="TVL23" s="623"/>
      <c r="TVM23" s="623"/>
      <c r="TVN23" s="623"/>
      <c r="TVO23" s="623"/>
      <c r="TVP23" s="623"/>
      <c r="TVQ23" s="623"/>
      <c r="TVR23" s="623"/>
      <c r="TVS23" s="623"/>
      <c r="TVT23" s="623"/>
      <c r="TVU23" s="623"/>
      <c r="TVV23" s="623"/>
      <c r="TVW23" s="623"/>
      <c r="TVX23" s="623"/>
      <c r="TVY23" s="623"/>
      <c r="TVZ23" s="623"/>
      <c r="TWA23" s="623"/>
      <c r="TWB23" s="623"/>
      <c r="TWC23" s="623"/>
      <c r="TWD23" s="623"/>
      <c r="TWE23" s="623"/>
      <c r="TWF23" s="623"/>
      <c r="TWG23" s="623"/>
      <c r="TWH23" s="623"/>
      <c r="TWI23" s="623"/>
      <c r="TWJ23" s="623"/>
      <c r="TWK23" s="623"/>
      <c r="TWL23" s="623"/>
      <c r="TWM23" s="623"/>
      <c r="TWN23" s="623"/>
      <c r="TWO23" s="623"/>
      <c r="TWP23" s="623"/>
      <c r="TWQ23" s="623"/>
      <c r="TWR23" s="623"/>
      <c r="TWS23" s="623"/>
      <c r="TWT23" s="623"/>
      <c r="TWU23" s="623"/>
      <c r="TWV23" s="623"/>
      <c r="TWW23" s="623"/>
      <c r="TWX23" s="623"/>
      <c r="TWY23" s="623"/>
      <c r="TWZ23" s="623"/>
      <c r="TXA23" s="623"/>
      <c r="TXB23" s="623"/>
      <c r="TXC23" s="623"/>
      <c r="TXD23" s="623"/>
      <c r="TXE23" s="623"/>
      <c r="TXF23" s="623"/>
      <c r="TXG23" s="623"/>
      <c r="TXH23" s="623"/>
      <c r="TXI23" s="623"/>
      <c r="TXJ23" s="623"/>
      <c r="TXK23" s="623"/>
      <c r="TXL23" s="623"/>
      <c r="TXM23" s="623"/>
      <c r="TXN23" s="623"/>
      <c r="TXO23" s="623"/>
      <c r="TXP23" s="623"/>
      <c r="TXQ23" s="623"/>
      <c r="TXR23" s="623"/>
      <c r="TXS23" s="623"/>
      <c r="TXT23" s="623"/>
      <c r="TXU23" s="623"/>
      <c r="TXV23" s="623"/>
      <c r="TXW23" s="623"/>
      <c r="TXX23" s="623"/>
      <c r="TXY23" s="623"/>
      <c r="TXZ23" s="623"/>
      <c r="TYA23" s="623"/>
      <c r="TYB23" s="623"/>
      <c r="TYC23" s="623"/>
      <c r="TYD23" s="623"/>
      <c r="TYE23" s="623"/>
      <c r="TYF23" s="623"/>
      <c r="TYG23" s="623"/>
      <c r="TYH23" s="623"/>
      <c r="TYI23" s="623"/>
      <c r="TYJ23" s="623"/>
      <c r="TYK23" s="623"/>
      <c r="TYL23" s="623"/>
      <c r="TYM23" s="623"/>
      <c r="TYN23" s="623"/>
      <c r="TYO23" s="623"/>
      <c r="TYP23" s="623"/>
      <c r="TYQ23" s="623"/>
      <c r="TYR23" s="623"/>
      <c r="TYS23" s="623"/>
      <c r="TYT23" s="623"/>
      <c r="TYU23" s="623"/>
      <c r="TYV23" s="623"/>
      <c r="TYW23" s="623"/>
      <c r="TYX23" s="623"/>
      <c r="TYY23" s="623"/>
      <c r="TYZ23" s="623"/>
      <c r="TZA23" s="623"/>
      <c r="TZB23" s="623"/>
      <c r="TZC23" s="623"/>
      <c r="TZD23" s="623"/>
      <c r="TZE23" s="623"/>
      <c r="TZF23" s="623"/>
      <c r="TZG23" s="623"/>
      <c r="TZH23" s="623"/>
      <c r="TZI23" s="623"/>
      <c r="TZJ23" s="623"/>
      <c r="TZK23" s="623"/>
      <c r="TZL23" s="623"/>
      <c r="TZM23" s="623"/>
      <c r="TZN23" s="623"/>
      <c r="TZO23" s="623"/>
      <c r="TZP23" s="623"/>
      <c r="TZQ23" s="623"/>
      <c r="TZR23" s="623"/>
      <c r="TZS23" s="623"/>
      <c r="TZT23" s="623"/>
      <c r="TZU23" s="623"/>
      <c r="TZV23" s="623"/>
      <c r="TZW23" s="623"/>
      <c r="TZX23" s="623"/>
      <c r="TZY23" s="623"/>
      <c r="TZZ23" s="623"/>
      <c r="UAA23" s="623"/>
      <c r="UAB23" s="623"/>
      <c r="UAC23" s="623"/>
      <c r="UAD23" s="623"/>
      <c r="UAE23" s="623"/>
      <c r="UAF23" s="623"/>
      <c r="UAG23" s="623"/>
      <c r="UAH23" s="623"/>
      <c r="UAI23" s="623"/>
      <c r="UAJ23" s="623"/>
      <c r="UAK23" s="623"/>
      <c r="UAL23" s="623"/>
      <c r="UAM23" s="623"/>
      <c r="UAN23" s="623"/>
      <c r="UAO23" s="623"/>
      <c r="UAP23" s="623"/>
      <c r="UAQ23" s="623"/>
      <c r="UAR23" s="623"/>
      <c r="UAS23" s="623"/>
      <c r="UAT23" s="623"/>
      <c r="UAU23" s="623"/>
      <c r="UAV23" s="623"/>
      <c r="UAW23" s="623"/>
      <c r="UAX23" s="623"/>
      <c r="UAY23" s="623"/>
      <c r="UAZ23" s="623"/>
      <c r="UBA23" s="623"/>
      <c r="UBB23" s="623"/>
      <c r="UBC23" s="623"/>
      <c r="UBD23" s="623"/>
      <c r="UBE23" s="623"/>
      <c r="UBF23" s="623"/>
      <c r="UBG23" s="623"/>
      <c r="UBH23" s="623"/>
      <c r="UBI23" s="623"/>
      <c r="UBJ23" s="623"/>
      <c r="UBK23" s="623"/>
      <c r="UBL23" s="623"/>
      <c r="UBM23" s="623"/>
      <c r="UBN23" s="623"/>
      <c r="UBO23" s="623"/>
      <c r="UBP23" s="623"/>
      <c r="UBQ23" s="623"/>
      <c r="UBR23" s="623"/>
      <c r="UBS23" s="623"/>
      <c r="UBT23" s="623"/>
      <c r="UBU23" s="623"/>
      <c r="UBV23" s="623"/>
      <c r="UBW23" s="623"/>
      <c r="UBX23" s="623"/>
      <c r="UBY23" s="623"/>
      <c r="UBZ23" s="623"/>
      <c r="UCA23" s="623"/>
      <c r="UCB23" s="623"/>
      <c r="UCC23" s="623"/>
      <c r="UCD23" s="623"/>
      <c r="UCE23" s="623"/>
      <c r="UCF23" s="623"/>
      <c r="UCG23" s="623"/>
      <c r="UCH23" s="623"/>
      <c r="UCI23" s="623"/>
      <c r="UCJ23" s="623"/>
      <c r="UCK23" s="623"/>
      <c r="UCL23" s="623"/>
      <c r="UCM23" s="623"/>
      <c r="UCN23" s="623"/>
      <c r="UCO23" s="623"/>
      <c r="UCP23" s="623"/>
      <c r="UCQ23" s="623"/>
      <c r="UCR23" s="623"/>
      <c r="UCS23" s="623"/>
      <c r="UCT23" s="623"/>
      <c r="UCU23" s="623"/>
      <c r="UCV23" s="623"/>
      <c r="UCW23" s="623"/>
      <c r="UCX23" s="623"/>
      <c r="UCY23" s="623"/>
      <c r="UCZ23" s="623"/>
      <c r="UDA23" s="623"/>
      <c r="UDB23" s="623"/>
      <c r="UDC23" s="623"/>
      <c r="UDD23" s="623"/>
      <c r="UDE23" s="623"/>
      <c r="UDF23" s="623"/>
      <c r="UDG23" s="623"/>
      <c r="UDH23" s="623"/>
      <c r="UDI23" s="623"/>
      <c r="UDJ23" s="623"/>
      <c r="UDK23" s="623"/>
      <c r="UDL23" s="623"/>
      <c r="UDM23" s="623"/>
      <c r="UDN23" s="623"/>
      <c r="UDO23" s="623"/>
      <c r="UDP23" s="623"/>
      <c r="UDQ23" s="623"/>
      <c r="UDR23" s="623"/>
      <c r="UDS23" s="623"/>
      <c r="UDT23" s="623"/>
      <c r="UDU23" s="623"/>
      <c r="UDV23" s="623"/>
      <c r="UDW23" s="623"/>
      <c r="UDX23" s="623"/>
      <c r="UDY23" s="623"/>
      <c r="UDZ23" s="623"/>
      <c r="UEA23" s="623"/>
      <c r="UEB23" s="623"/>
      <c r="UEC23" s="623"/>
      <c r="UED23" s="623"/>
      <c r="UEE23" s="623"/>
      <c r="UEF23" s="623"/>
      <c r="UEG23" s="623"/>
      <c r="UEH23" s="623"/>
      <c r="UEI23" s="623"/>
      <c r="UEJ23" s="623"/>
      <c r="UEK23" s="623"/>
      <c r="UEL23" s="623"/>
      <c r="UEM23" s="623"/>
      <c r="UEN23" s="623"/>
      <c r="UEO23" s="623"/>
      <c r="UEP23" s="623"/>
      <c r="UEQ23" s="623"/>
      <c r="UER23" s="623"/>
      <c r="UES23" s="623"/>
      <c r="UET23" s="623"/>
      <c r="UEU23" s="623"/>
      <c r="UEV23" s="623"/>
      <c r="UEW23" s="623"/>
      <c r="UEX23" s="623"/>
      <c r="UEY23" s="623"/>
      <c r="UEZ23" s="623"/>
      <c r="UFA23" s="623"/>
      <c r="UFB23" s="623"/>
      <c r="UFC23" s="623"/>
      <c r="UFD23" s="623"/>
      <c r="UFE23" s="623"/>
      <c r="UFF23" s="623"/>
      <c r="UFG23" s="623"/>
      <c r="UFH23" s="623"/>
      <c r="UFI23" s="623"/>
      <c r="UFJ23" s="623"/>
      <c r="UFK23" s="623"/>
      <c r="UFL23" s="623"/>
      <c r="UFM23" s="623"/>
      <c r="UFN23" s="623"/>
      <c r="UFO23" s="623"/>
      <c r="UFP23" s="623"/>
      <c r="UFQ23" s="623"/>
      <c r="UFR23" s="623"/>
      <c r="UFS23" s="623"/>
      <c r="UFT23" s="623"/>
      <c r="UFU23" s="623"/>
      <c r="UFV23" s="623"/>
      <c r="UFW23" s="623"/>
      <c r="UFX23" s="623"/>
      <c r="UFY23" s="623"/>
      <c r="UFZ23" s="623"/>
      <c r="UGA23" s="623"/>
      <c r="UGB23" s="623"/>
      <c r="UGC23" s="623"/>
      <c r="UGD23" s="623"/>
      <c r="UGE23" s="623"/>
      <c r="UGF23" s="623"/>
      <c r="UGG23" s="623"/>
      <c r="UGH23" s="623"/>
      <c r="UGI23" s="623"/>
      <c r="UGJ23" s="623"/>
      <c r="UGK23" s="623"/>
      <c r="UGL23" s="623"/>
      <c r="UGM23" s="623"/>
      <c r="UGN23" s="623"/>
      <c r="UGO23" s="623"/>
      <c r="UGP23" s="623"/>
      <c r="UGQ23" s="623"/>
      <c r="UGR23" s="623"/>
      <c r="UGS23" s="623"/>
      <c r="UGT23" s="623"/>
      <c r="UGU23" s="623"/>
      <c r="UGV23" s="623"/>
      <c r="UGW23" s="623"/>
      <c r="UGX23" s="623"/>
      <c r="UGY23" s="623"/>
      <c r="UGZ23" s="623"/>
      <c r="UHA23" s="623"/>
      <c r="UHB23" s="623"/>
      <c r="UHC23" s="623"/>
      <c r="UHD23" s="623"/>
      <c r="UHE23" s="623"/>
      <c r="UHF23" s="623"/>
      <c r="UHG23" s="623"/>
      <c r="UHH23" s="623"/>
      <c r="UHI23" s="623"/>
      <c r="UHJ23" s="623"/>
      <c r="UHK23" s="623"/>
      <c r="UHL23" s="623"/>
      <c r="UHM23" s="623"/>
      <c r="UHN23" s="623"/>
      <c r="UHO23" s="623"/>
      <c r="UHP23" s="623"/>
      <c r="UHQ23" s="623"/>
      <c r="UHR23" s="623"/>
      <c r="UHS23" s="623"/>
      <c r="UHT23" s="623"/>
      <c r="UHU23" s="623"/>
      <c r="UHV23" s="623"/>
      <c r="UHW23" s="623"/>
      <c r="UHX23" s="623"/>
      <c r="UHY23" s="623"/>
      <c r="UHZ23" s="623"/>
      <c r="UIA23" s="623"/>
      <c r="UIB23" s="623"/>
      <c r="UIC23" s="623"/>
      <c r="UID23" s="623"/>
      <c r="UIE23" s="623"/>
      <c r="UIF23" s="623"/>
      <c r="UIG23" s="623"/>
      <c r="UIH23" s="623"/>
      <c r="UII23" s="623"/>
      <c r="UIJ23" s="623"/>
      <c r="UIK23" s="623"/>
      <c r="UIL23" s="623"/>
      <c r="UIM23" s="623"/>
      <c r="UIN23" s="623"/>
      <c r="UIO23" s="623"/>
      <c r="UIP23" s="623"/>
      <c r="UIQ23" s="623"/>
      <c r="UIR23" s="623"/>
      <c r="UIS23" s="623"/>
      <c r="UIT23" s="623"/>
      <c r="UIU23" s="623"/>
      <c r="UIV23" s="623"/>
      <c r="UIW23" s="623"/>
      <c r="UIX23" s="623"/>
      <c r="UIY23" s="623"/>
      <c r="UIZ23" s="623"/>
      <c r="UJA23" s="623"/>
      <c r="UJB23" s="623"/>
      <c r="UJC23" s="623"/>
      <c r="UJD23" s="623"/>
      <c r="UJE23" s="623"/>
      <c r="UJF23" s="623"/>
      <c r="UJG23" s="623"/>
      <c r="UJH23" s="623"/>
      <c r="UJI23" s="623"/>
      <c r="UJJ23" s="623"/>
      <c r="UJK23" s="623"/>
      <c r="UJL23" s="623"/>
      <c r="UJM23" s="623"/>
      <c r="UJN23" s="623"/>
      <c r="UJO23" s="623"/>
      <c r="UJP23" s="623"/>
      <c r="UJQ23" s="623"/>
      <c r="UJR23" s="623"/>
      <c r="UJS23" s="623"/>
      <c r="UJT23" s="623"/>
      <c r="UJU23" s="623"/>
      <c r="UJV23" s="623"/>
      <c r="UJW23" s="623"/>
      <c r="UJX23" s="623"/>
      <c r="UJY23" s="623"/>
      <c r="UJZ23" s="623"/>
      <c r="UKA23" s="623"/>
      <c r="UKB23" s="623"/>
      <c r="UKC23" s="623"/>
      <c r="UKD23" s="623"/>
      <c r="UKE23" s="623"/>
      <c r="UKF23" s="623"/>
      <c r="UKG23" s="623"/>
      <c r="UKH23" s="623"/>
      <c r="UKI23" s="623"/>
      <c r="UKJ23" s="623"/>
      <c r="UKK23" s="623"/>
      <c r="UKL23" s="623"/>
      <c r="UKM23" s="623"/>
      <c r="UKN23" s="623"/>
      <c r="UKO23" s="623"/>
      <c r="UKP23" s="623"/>
      <c r="UKQ23" s="623"/>
      <c r="UKR23" s="623"/>
      <c r="UKS23" s="623"/>
      <c r="UKT23" s="623"/>
      <c r="UKU23" s="623"/>
      <c r="UKV23" s="623"/>
      <c r="UKW23" s="623"/>
      <c r="UKX23" s="623"/>
      <c r="UKY23" s="623"/>
      <c r="UKZ23" s="623"/>
      <c r="ULA23" s="623"/>
      <c r="ULB23" s="623"/>
      <c r="ULC23" s="623"/>
      <c r="ULD23" s="623"/>
      <c r="ULE23" s="623"/>
      <c r="ULF23" s="623"/>
      <c r="ULG23" s="623"/>
      <c r="ULH23" s="623"/>
      <c r="ULI23" s="623"/>
      <c r="ULJ23" s="623"/>
      <c r="ULK23" s="623"/>
      <c r="ULL23" s="623"/>
      <c r="ULM23" s="623"/>
      <c r="ULN23" s="623"/>
      <c r="ULO23" s="623"/>
      <c r="ULP23" s="623"/>
      <c r="ULQ23" s="623"/>
      <c r="ULR23" s="623"/>
      <c r="ULS23" s="623"/>
      <c r="ULT23" s="623"/>
      <c r="ULU23" s="623"/>
      <c r="ULV23" s="623"/>
      <c r="ULW23" s="623"/>
      <c r="ULX23" s="623"/>
      <c r="ULY23" s="623"/>
      <c r="ULZ23" s="623"/>
      <c r="UMA23" s="623"/>
      <c r="UMB23" s="623"/>
      <c r="UMC23" s="623"/>
      <c r="UMD23" s="623"/>
      <c r="UME23" s="623"/>
      <c r="UMF23" s="623"/>
      <c r="UMG23" s="623"/>
      <c r="UMH23" s="623"/>
      <c r="UMI23" s="623"/>
      <c r="UMJ23" s="623"/>
      <c r="UMK23" s="623"/>
      <c r="UML23" s="623"/>
      <c r="UMM23" s="623"/>
      <c r="UMN23" s="623"/>
      <c r="UMO23" s="623"/>
      <c r="UMP23" s="623"/>
      <c r="UMQ23" s="623"/>
      <c r="UMR23" s="623"/>
      <c r="UMS23" s="623"/>
      <c r="UMT23" s="623"/>
      <c r="UMU23" s="623"/>
      <c r="UMV23" s="623"/>
      <c r="UMW23" s="623"/>
      <c r="UMX23" s="623"/>
      <c r="UMY23" s="623"/>
      <c r="UMZ23" s="623"/>
      <c r="UNA23" s="623"/>
      <c r="UNB23" s="623"/>
      <c r="UNC23" s="623"/>
      <c r="UND23" s="623"/>
      <c r="UNE23" s="623"/>
      <c r="UNF23" s="623"/>
      <c r="UNG23" s="623"/>
      <c r="UNH23" s="623"/>
      <c r="UNI23" s="623"/>
      <c r="UNJ23" s="623"/>
      <c r="UNK23" s="623"/>
      <c r="UNL23" s="623"/>
      <c r="UNM23" s="623"/>
      <c r="UNN23" s="623"/>
      <c r="UNO23" s="623"/>
      <c r="UNP23" s="623"/>
      <c r="UNQ23" s="623"/>
      <c r="UNR23" s="623"/>
      <c r="UNS23" s="623"/>
      <c r="UNT23" s="623"/>
      <c r="UNU23" s="623"/>
      <c r="UNV23" s="623"/>
      <c r="UNW23" s="623"/>
      <c r="UNX23" s="623"/>
      <c r="UNY23" s="623"/>
      <c r="UNZ23" s="623"/>
      <c r="UOA23" s="623"/>
      <c r="UOB23" s="623"/>
      <c r="UOC23" s="623"/>
      <c r="UOD23" s="623"/>
      <c r="UOE23" s="623"/>
      <c r="UOF23" s="623"/>
      <c r="UOG23" s="623"/>
      <c r="UOH23" s="623"/>
      <c r="UOI23" s="623"/>
      <c r="UOJ23" s="623"/>
      <c r="UOK23" s="623"/>
      <c r="UOL23" s="623"/>
      <c r="UOM23" s="623"/>
      <c r="UON23" s="623"/>
      <c r="UOO23" s="623"/>
      <c r="UOP23" s="623"/>
      <c r="UOQ23" s="623"/>
      <c r="UOR23" s="623"/>
      <c r="UOS23" s="623"/>
      <c r="UOT23" s="623"/>
      <c r="UOU23" s="623"/>
      <c r="UOV23" s="623"/>
      <c r="UOW23" s="623"/>
      <c r="UOX23" s="623"/>
      <c r="UOY23" s="623"/>
      <c r="UOZ23" s="623"/>
      <c r="UPA23" s="623"/>
      <c r="UPB23" s="623"/>
      <c r="UPC23" s="623"/>
      <c r="UPD23" s="623"/>
      <c r="UPE23" s="623"/>
      <c r="UPF23" s="623"/>
      <c r="UPG23" s="623"/>
      <c r="UPH23" s="623"/>
      <c r="UPI23" s="623"/>
      <c r="UPJ23" s="623"/>
      <c r="UPK23" s="623"/>
      <c r="UPL23" s="623"/>
      <c r="UPM23" s="623"/>
      <c r="UPN23" s="623"/>
      <c r="UPO23" s="623"/>
      <c r="UPP23" s="623"/>
      <c r="UPQ23" s="623"/>
      <c r="UPR23" s="623"/>
      <c r="UPS23" s="623"/>
      <c r="UPT23" s="623"/>
      <c r="UPU23" s="623"/>
      <c r="UPV23" s="623"/>
      <c r="UPW23" s="623"/>
      <c r="UPX23" s="623"/>
      <c r="UPY23" s="623"/>
      <c r="UPZ23" s="623"/>
      <c r="UQA23" s="623"/>
      <c r="UQB23" s="623"/>
      <c r="UQC23" s="623"/>
      <c r="UQD23" s="623"/>
      <c r="UQE23" s="623"/>
      <c r="UQF23" s="623"/>
      <c r="UQG23" s="623"/>
      <c r="UQH23" s="623"/>
      <c r="UQI23" s="623"/>
      <c r="UQJ23" s="623"/>
      <c r="UQK23" s="623"/>
      <c r="UQL23" s="623"/>
      <c r="UQM23" s="623"/>
      <c r="UQN23" s="623"/>
      <c r="UQO23" s="623"/>
      <c r="UQP23" s="623"/>
      <c r="UQQ23" s="623"/>
      <c r="UQR23" s="623"/>
      <c r="UQS23" s="623"/>
      <c r="UQT23" s="623"/>
      <c r="UQU23" s="623"/>
      <c r="UQV23" s="623"/>
      <c r="UQW23" s="623"/>
      <c r="UQX23" s="623"/>
      <c r="UQY23" s="623"/>
      <c r="UQZ23" s="623"/>
      <c r="URA23" s="623"/>
      <c r="URB23" s="623"/>
      <c r="URC23" s="623"/>
      <c r="URD23" s="623"/>
      <c r="URE23" s="623"/>
      <c r="URF23" s="623"/>
      <c r="URG23" s="623"/>
      <c r="URH23" s="623"/>
      <c r="URI23" s="623"/>
      <c r="URJ23" s="623"/>
      <c r="URK23" s="623"/>
      <c r="URL23" s="623"/>
      <c r="URM23" s="623"/>
      <c r="URN23" s="623"/>
      <c r="URO23" s="623"/>
      <c r="URP23" s="623"/>
      <c r="URQ23" s="623"/>
      <c r="URR23" s="623"/>
      <c r="URS23" s="623"/>
      <c r="URT23" s="623"/>
      <c r="URU23" s="623"/>
      <c r="URV23" s="623"/>
      <c r="URW23" s="623"/>
      <c r="URX23" s="623"/>
      <c r="URY23" s="623"/>
      <c r="URZ23" s="623"/>
      <c r="USA23" s="623"/>
      <c r="USB23" s="623"/>
      <c r="USC23" s="623"/>
      <c r="USD23" s="623"/>
      <c r="USE23" s="623"/>
      <c r="USF23" s="623"/>
      <c r="USG23" s="623"/>
      <c r="USH23" s="623"/>
      <c r="USI23" s="623"/>
      <c r="USJ23" s="623"/>
      <c r="USK23" s="623"/>
      <c r="USL23" s="623"/>
      <c r="USM23" s="623"/>
      <c r="USN23" s="623"/>
      <c r="USO23" s="623"/>
      <c r="USP23" s="623"/>
      <c r="USQ23" s="623"/>
      <c r="USR23" s="623"/>
      <c r="USS23" s="623"/>
      <c r="UST23" s="623"/>
      <c r="USU23" s="623"/>
      <c r="USV23" s="623"/>
      <c r="USW23" s="623"/>
      <c r="USX23" s="623"/>
      <c r="USY23" s="623"/>
      <c r="USZ23" s="623"/>
      <c r="UTA23" s="623"/>
      <c r="UTB23" s="623"/>
      <c r="UTC23" s="623"/>
      <c r="UTD23" s="623"/>
      <c r="UTE23" s="623"/>
      <c r="UTF23" s="623"/>
      <c r="UTG23" s="623"/>
      <c r="UTH23" s="623"/>
      <c r="UTI23" s="623"/>
      <c r="UTJ23" s="623"/>
      <c r="UTK23" s="623"/>
      <c r="UTL23" s="623"/>
      <c r="UTM23" s="623"/>
      <c r="UTN23" s="623"/>
      <c r="UTO23" s="623"/>
      <c r="UTP23" s="623"/>
      <c r="UTQ23" s="623"/>
      <c r="UTR23" s="623"/>
      <c r="UTS23" s="623"/>
      <c r="UTT23" s="623"/>
      <c r="UTU23" s="623"/>
      <c r="UTV23" s="623"/>
      <c r="UTW23" s="623"/>
      <c r="UTX23" s="623"/>
      <c r="UTY23" s="623"/>
      <c r="UTZ23" s="623"/>
      <c r="UUA23" s="623"/>
      <c r="UUB23" s="623"/>
      <c r="UUC23" s="623"/>
      <c r="UUD23" s="623"/>
      <c r="UUE23" s="623"/>
      <c r="UUF23" s="623"/>
      <c r="UUG23" s="623"/>
      <c r="UUH23" s="623"/>
      <c r="UUI23" s="623"/>
      <c r="UUJ23" s="623"/>
      <c r="UUK23" s="623"/>
      <c r="UUL23" s="623"/>
      <c r="UUM23" s="623"/>
      <c r="UUN23" s="623"/>
      <c r="UUO23" s="623"/>
      <c r="UUP23" s="623"/>
      <c r="UUQ23" s="623"/>
      <c r="UUR23" s="623"/>
      <c r="UUS23" s="623"/>
      <c r="UUT23" s="623"/>
      <c r="UUU23" s="623"/>
      <c r="UUV23" s="623"/>
      <c r="UUW23" s="623"/>
      <c r="UUX23" s="623"/>
      <c r="UUY23" s="623"/>
      <c r="UUZ23" s="623"/>
      <c r="UVA23" s="623"/>
      <c r="UVB23" s="623"/>
      <c r="UVC23" s="623"/>
      <c r="UVD23" s="623"/>
      <c r="UVE23" s="623"/>
      <c r="UVF23" s="623"/>
      <c r="UVG23" s="623"/>
      <c r="UVH23" s="623"/>
      <c r="UVI23" s="623"/>
      <c r="UVJ23" s="623"/>
      <c r="UVK23" s="623"/>
      <c r="UVL23" s="623"/>
      <c r="UVM23" s="623"/>
      <c r="UVN23" s="623"/>
      <c r="UVO23" s="623"/>
      <c r="UVP23" s="623"/>
      <c r="UVQ23" s="623"/>
      <c r="UVR23" s="623"/>
      <c r="UVS23" s="623"/>
      <c r="UVT23" s="623"/>
      <c r="UVU23" s="623"/>
      <c r="UVV23" s="623"/>
      <c r="UVW23" s="623"/>
      <c r="UVX23" s="623"/>
      <c r="UVY23" s="623"/>
      <c r="UVZ23" s="623"/>
      <c r="UWA23" s="623"/>
      <c r="UWB23" s="623"/>
      <c r="UWC23" s="623"/>
      <c r="UWD23" s="623"/>
      <c r="UWE23" s="623"/>
      <c r="UWF23" s="623"/>
      <c r="UWG23" s="623"/>
      <c r="UWH23" s="623"/>
      <c r="UWI23" s="623"/>
      <c r="UWJ23" s="623"/>
      <c r="UWK23" s="623"/>
      <c r="UWL23" s="623"/>
      <c r="UWM23" s="623"/>
      <c r="UWN23" s="623"/>
      <c r="UWO23" s="623"/>
      <c r="UWP23" s="623"/>
      <c r="UWQ23" s="623"/>
      <c r="UWR23" s="623"/>
      <c r="UWS23" s="623"/>
      <c r="UWT23" s="623"/>
      <c r="UWU23" s="623"/>
      <c r="UWV23" s="623"/>
      <c r="UWW23" s="623"/>
      <c r="UWX23" s="623"/>
      <c r="UWY23" s="623"/>
      <c r="UWZ23" s="623"/>
      <c r="UXA23" s="623"/>
      <c r="UXB23" s="623"/>
      <c r="UXC23" s="623"/>
      <c r="UXD23" s="623"/>
      <c r="UXE23" s="623"/>
      <c r="UXF23" s="623"/>
      <c r="UXG23" s="623"/>
      <c r="UXH23" s="623"/>
      <c r="UXI23" s="623"/>
      <c r="UXJ23" s="623"/>
      <c r="UXK23" s="623"/>
      <c r="UXL23" s="623"/>
      <c r="UXM23" s="623"/>
      <c r="UXN23" s="623"/>
      <c r="UXO23" s="623"/>
      <c r="UXP23" s="623"/>
      <c r="UXQ23" s="623"/>
      <c r="UXR23" s="623"/>
      <c r="UXS23" s="623"/>
      <c r="UXT23" s="623"/>
      <c r="UXU23" s="623"/>
      <c r="UXV23" s="623"/>
      <c r="UXW23" s="623"/>
      <c r="UXX23" s="623"/>
      <c r="UXY23" s="623"/>
      <c r="UXZ23" s="623"/>
      <c r="UYA23" s="623"/>
      <c r="UYB23" s="623"/>
      <c r="UYC23" s="623"/>
      <c r="UYD23" s="623"/>
      <c r="UYE23" s="623"/>
      <c r="UYF23" s="623"/>
      <c r="UYG23" s="623"/>
      <c r="UYH23" s="623"/>
      <c r="UYI23" s="623"/>
      <c r="UYJ23" s="623"/>
      <c r="UYK23" s="623"/>
      <c r="UYL23" s="623"/>
      <c r="UYM23" s="623"/>
      <c r="UYN23" s="623"/>
      <c r="UYO23" s="623"/>
      <c r="UYP23" s="623"/>
      <c r="UYQ23" s="623"/>
      <c r="UYR23" s="623"/>
      <c r="UYS23" s="623"/>
      <c r="UYT23" s="623"/>
      <c r="UYU23" s="623"/>
      <c r="UYV23" s="623"/>
      <c r="UYW23" s="623"/>
      <c r="UYX23" s="623"/>
      <c r="UYY23" s="623"/>
      <c r="UYZ23" s="623"/>
      <c r="UZA23" s="623"/>
      <c r="UZB23" s="623"/>
      <c r="UZC23" s="623"/>
      <c r="UZD23" s="623"/>
      <c r="UZE23" s="623"/>
      <c r="UZF23" s="623"/>
      <c r="UZG23" s="623"/>
      <c r="UZH23" s="623"/>
      <c r="UZI23" s="623"/>
      <c r="UZJ23" s="623"/>
      <c r="UZK23" s="623"/>
      <c r="UZL23" s="623"/>
      <c r="UZM23" s="623"/>
      <c r="UZN23" s="623"/>
      <c r="UZO23" s="623"/>
      <c r="UZP23" s="623"/>
      <c r="UZQ23" s="623"/>
      <c r="UZR23" s="623"/>
      <c r="UZS23" s="623"/>
      <c r="UZT23" s="623"/>
      <c r="UZU23" s="623"/>
      <c r="UZV23" s="623"/>
      <c r="UZW23" s="623"/>
      <c r="UZX23" s="623"/>
      <c r="UZY23" s="623"/>
      <c r="UZZ23" s="623"/>
      <c r="VAA23" s="623"/>
      <c r="VAB23" s="623"/>
      <c r="VAC23" s="623"/>
      <c r="VAD23" s="623"/>
      <c r="VAE23" s="623"/>
      <c r="VAF23" s="623"/>
      <c r="VAG23" s="623"/>
      <c r="VAH23" s="623"/>
      <c r="VAI23" s="623"/>
      <c r="VAJ23" s="623"/>
      <c r="VAK23" s="623"/>
      <c r="VAL23" s="623"/>
      <c r="VAM23" s="623"/>
      <c r="VAN23" s="623"/>
      <c r="VAO23" s="623"/>
      <c r="VAP23" s="623"/>
      <c r="VAQ23" s="623"/>
      <c r="VAR23" s="623"/>
      <c r="VAS23" s="623"/>
      <c r="VAT23" s="623"/>
      <c r="VAU23" s="623"/>
      <c r="VAV23" s="623"/>
      <c r="VAW23" s="623"/>
      <c r="VAX23" s="623"/>
      <c r="VAY23" s="623"/>
      <c r="VAZ23" s="623"/>
      <c r="VBA23" s="623"/>
      <c r="VBB23" s="623"/>
      <c r="VBC23" s="623"/>
      <c r="VBD23" s="623"/>
      <c r="VBE23" s="623"/>
      <c r="VBF23" s="623"/>
      <c r="VBG23" s="623"/>
      <c r="VBH23" s="623"/>
      <c r="VBI23" s="623"/>
      <c r="VBJ23" s="623"/>
      <c r="VBK23" s="623"/>
      <c r="VBL23" s="623"/>
      <c r="VBM23" s="623"/>
      <c r="VBN23" s="623"/>
      <c r="VBO23" s="623"/>
      <c r="VBP23" s="623"/>
      <c r="VBQ23" s="623"/>
      <c r="VBR23" s="623"/>
      <c r="VBS23" s="623"/>
      <c r="VBT23" s="623"/>
      <c r="VBU23" s="623"/>
      <c r="VBV23" s="623"/>
      <c r="VBW23" s="623"/>
      <c r="VBX23" s="623"/>
      <c r="VBY23" s="623"/>
      <c r="VBZ23" s="623"/>
      <c r="VCA23" s="623"/>
      <c r="VCB23" s="623"/>
      <c r="VCC23" s="623"/>
      <c r="VCD23" s="623"/>
      <c r="VCE23" s="623"/>
      <c r="VCF23" s="623"/>
      <c r="VCG23" s="623"/>
      <c r="VCH23" s="623"/>
      <c r="VCI23" s="623"/>
      <c r="VCJ23" s="623"/>
      <c r="VCK23" s="623"/>
      <c r="VCL23" s="623"/>
      <c r="VCM23" s="623"/>
      <c r="VCN23" s="623"/>
      <c r="VCO23" s="623"/>
      <c r="VCP23" s="623"/>
      <c r="VCQ23" s="623"/>
      <c r="VCR23" s="623"/>
      <c r="VCS23" s="623"/>
      <c r="VCT23" s="623"/>
      <c r="VCU23" s="623"/>
      <c r="VCV23" s="623"/>
      <c r="VCW23" s="623"/>
      <c r="VCX23" s="623"/>
      <c r="VCY23" s="623"/>
      <c r="VCZ23" s="623"/>
      <c r="VDA23" s="623"/>
      <c r="VDB23" s="623"/>
      <c r="VDC23" s="623"/>
      <c r="VDD23" s="623"/>
      <c r="VDE23" s="623"/>
      <c r="VDF23" s="623"/>
      <c r="VDG23" s="623"/>
      <c r="VDH23" s="623"/>
      <c r="VDI23" s="623"/>
      <c r="VDJ23" s="623"/>
      <c r="VDK23" s="623"/>
      <c r="VDL23" s="623"/>
      <c r="VDM23" s="623"/>
      <c r="VDN23" s="623"/>
      <c r="VDO23" s="623"/>
      <c r="VDP23" s="623"/>
      <c r="VDQ23" s="623"/>
      <c r="VDR23" s="623"/>
      <c r="VDS23" s="623"/>
      <c r="VDT23" s="623"/>
      <c r="VDU23" s="623"/>
      <c r="VDV23" s="623"/>
      <c r="VDW23" s="623"/>
      <c r="VDX23" s="623"/>
      <c r="VDY23" s="623"/>
      <c r="VDZ23" s="623"/>
      <c r="VEA23" s="623"/>
      <c r="VEB23" s="623"/>
      <c r="VEC23" s="623"/>
      <c r="VED23" s="623"/>
      <c r="VEE23" s="623"/>
      <c r="VEF23" s="623"/>
      <c r="VEG23" s="623"/>
      <c r="VEH23" s="623"/>
      <c r="VEI23" s="623"/>
      <c r="VEJ23" s="623"/>
      <c r="VEK23" s="623"/>
      <c r="VEL23" s="623"/>
      <c r="VEM23" s="623"/>
      <c r="VEN23" s="623"/>
      <c r="VEO23" s="623"/>
      <c r="VEP23" s="623"/>
      <c r="VEQ23" s="623"/>
      <c r="VER23" s="623"/>
      <c r="VES23" s="623"/>
      <c r="VET23" s="623"/>
      <c r="VEU23" s="623"/>
      <c r="VEV23" s="623"/>
      <c r="VEW23" s="623"/>
      <c r="VEX23" s="623"/>
      <c r="VEY23" s="623"/>
      <c r="VEZ23" s="623"/>
      <c r="VFA23" s="623"/>
      <c r="VFB23" s="623"/>
      <c r="VFC23" s="623"/>
      <c r="VFD23" s="623"/>
      <c r="VFE23" s="623"/>
      <c r="VFF23" s="623"/>
      <c r="VFG23" s="623"/>
      <c r="VFH23" s="623"/>
      <c r="VFI23" s="623"/>
      <c r="VFJ23" s="623"/>
      <c r="VFK23" s="623"/>
      <c r="VFL23" s="623"/>
      <c r="VFM23" s="623"/>
      <c r="VFN23" s="623"/>
      <c r="VFO23" s="623"/>
      <c r="VFP23" s="623"/>
      <c r="VFQ23" s="623"/>
      <c r="VFR23" s="623"/>
      <c r="VFS23" s="623"/>
      <c r="VFT23" s="623"/>
      <c r="VFU23" s="623"/>
      <c r="VFV23" s="623"/>
      <c r="VFW23" s="623"/>
      <c r="VFX23" s="623"/>
      <c r="VFY23" s="623"/>
      <c r="VFZ23" s="623"/>
      <c r="VGA23" s="623"/>
      <c r="VGB23" s="623"/>
      <c r="VGC23" s="623"/>
      <c r="VGD23" s="623"/>
      <c r="VGE23" s="623"/>
      <c r="VGF23" s="623"/>
      <c r="VGG23" s="623"/>
      <c r="VGH23" s="623"/>
      <c r="VGI23" s="623"/>
      <c r="VGJ23" s="623"/>
      <c r="VGK23" s="623"/>
      <c r="VGL23" s="623"/>
      <c r="VGM23" s="623"/>
      <c r="VGN23" s="623"/>
      <c r="VGO23" s="623"/>
      <c r="VGP23" s="623"/>
      <c r="VGQ23" s="623"/>
      <c r="VGR23" s="623"/>
      <c r="VGS23" s="623"/>
      <c r="VGT23" s="623"/>
      <c r="VGU23" s="623"/>
      <c r="VGV23" s="623"/>
      <c r="VGW23" s="623"/>
      <c r="VGX23" s="623"/>
      <c r="VGY23" s="623"/>
      <c r="VGZ23" s="623"/>
      <c r="VHA23" s="623"/>
      <c r="VHB23" s="623"/>
      <c r="VHC23" s="623"/>
      <c r="VHD23" s="623"/>
      <c r="VHE23" s="623"/>
      <c r="VHF23" s="623"/>
      <c r="VHG23" s="623"/>
      <c r="VHH23" s="623"/>
      <c r="VHI23" s="623"/>
      <c r="VHJ23" s="623"/>
      <c r="VHK23" s="623"/>
      <c r="VHL23" s="623"/>
      <c r="VHM23" s="623"/>
      <c r="VHN23" s="623"/>
      <c r="VHO23" s="623"/>
      <c r="VHP23" s="623"/>
      <c r="VHQ23" s="623"/>
      <c r="VHR23" s="623"/>
      <c r="VHS23" s="623"/>
      <c r="VHT23" s="623"/>
      <c r="VHU23" s="623"/>
      <c r="VHV23" s="623"/>
      <c r="VHW23" s="623"/>
      <c r="VHX23" s="623"/>
      <c r="VHY23" s="623"/>
      <c r="VHZ23" s="623"/>
      <c r="VIA23" s="623"/>
      <c r="VIB23" s="623"/>
      <c r="VIC23" s="623"/>
      <c r="VID23" s="623"/>
      <c r="VIE23" s="623"/>
      <c r="VIF23" s="623"/>
      <c r="VIG23" s="623"/>
      <c r="VIH23" s="623"/>
      <c r="VII23" s="623"/>
      <c r="VIJ23" s="623"/>
      <c r="VIK23" s="623"/>
      <c r="VIL23" s="623"/>
      <c r="VIM23" s="623"/>
      <c r="VIN23" s="623"/>
      <c r="VIO23" s="623"/>
      <c r="VIP23" s="623"/>
      <c r="VIQ23" s="623"/>
      <c r="VIR23" s="623"/>
      <c r="VIS23" s="623"/>
      <c r="VIT23" s="623"/>
      <c r="VIU23" s="623"/>
      <c r="VIV23" s="623"/>
      <c r="VIW23" s="623"/>
      <c r="VIX23" s="623"/>
      <c r="VIY23" s="623"/>
      <c r="VIZ23" s="623"/>
      <c r="VJA23" s="623"/>
      <c r="VJB23" s="623"/>
      <c r="VJC23" s="623"/>
      <c r="VJD23" s="623"/>
      <c r="VJE23" s="623"/>
      <c r="VJF23" s="623"/>
      <c r="VJG23" s="623"/>
      <c r="VJH23" s="623"/>
      <c r="VJI23" s="623"/>
      <c r="VJJ23" s="623"/>
      <c r="VJK23" s="623"/>
      <c r="VJL23" s="623"/>
      <c r="VJM23" s="623"/>
      <c r="VJN23" s="623"/>
      <c r="VJO23" s="623"/>
      <c r="VJP23" s="623"/>
      <c r="VJQ23" s="623"/>
      <c r="VJR23" s="623"/>
      <c r="VJS23" s="623"/>
      <c r="VJT23" s="623"/>
      <c r="VJU23" s="623"/>
      <c r="VJV23" s="623"/>
      <c r="VJW23" s="623"/>
      <c r="VJX23" s="623"/>
      <c r="VJY23" s="623"/>
      <c r="VJZ23" s="623"/>
      <c r="VKA23" s="623"/>
      <c r="VKB23" s="623"/>
      <c r="VKC23" s="623"/>
      <c r="VKD23" s="623"/>
      <c r="VKE23" s="623"/>
      <c r="VKF23" s="623"/>
      <c r="VKG23" s="623"/>
      <c r="VKH23" s="623"/>
      <c r="VKI23" s="623"/>
      <c r="VKJ23" s="623"/>
      <c r="VKK23" s="623"/>
      <c r="VKL23" s="623"/>
      <c r="VKM23" s="623"/>
      <c r="VKN23" s="623"/>
      <c r="VKO23" s="623"/>
      <c r="VKP23" s="623"/>
      <c r="VKQ23" s="623"/>
      <c r="VKR23" s="623"/>
      <c r="VKS23" s="623"/>
      <c r="VKT23" s="623"/>
      <c r="VKU23" s="623"/>
      <c r="VKV23" s="623"/>
      <c r="VKW23" s="623"/>
      <c r="VKX23" s="623"/>
      <c r="VKY23" s="623"/>
      <c r="VKZ23" s="623"/>
      <c r="VLA23" s="623"/>
      <c r="VLB23" s="623"/>
      <c r="VLC23" s="623"/>
      <c r="VLD23" s="623"/>
      <c r="VLE23" s="623"/>
      <c r="VLF23" s="623"/>
      <c r="VLG23" s="623"/>
      <c r="VLH23" s="623"/>
      <c r="VLI23" s="623"/>
      <c r="VLJ23" s="623"/>
      <c r="VLK23" s="623"/>
      <c r="VLL23" s="623"/>
      <c r="VLM23" s="623"/>
      <c r="VLN23" s="623"/>
      <c r="VLO23" s="623"/>
      <c r="VLP23" s="623"/>
      <c r="VLQ23" s="623"/>
      <c r="VLR23" s="623"/>
      <c r="VLS23" s="623"/>
      <c r="VLT23" s="623"/>
      <c r="VLU23" s="623"/>
      <c r="VLV23" s="623"/>
      <c r="VLW23" s="623"/>
      <c r="VLX23" s="623"/>
      <c r="VLY23" s="623"/>
      <c r="VLZ23" s="623"/>
      <c r="VMA23" s="623"/>
      <c r="VMB23" s="623"/>
      <c r="VMC23" s="623"/>
      <c r="VMD23" s="623"/>
      <c r="VME23" s="623"/>
      <c r="VMF23" s="623"/>
      <c r="VMG23" s="623"/>
      <c r="VMH23" s="623"/>
      <c r="VMI23" s="623"/>
      <c r="VMJ23" s="623"/>
      <c r="VMK23" s="623"/>
      <c r="VML23" s="623"/>
      <c r="VMM23" s="623"/>
      <c r="VMN23" s="623"/>
      <c r="VMO23" s="623"/>
      <c r="VMP23" s="623"/>
      <c r="VMQ23" s="623"/>
      <c r="VMR23" s="623"/>
      <c r="VMS23" s="623"/>
      <c r="VMT23" s="623"/>
      <c r="VMU23" s="623"/>
      <c r="VMV23" s="623"/>
      <c r="VMW23" s="623"/>
      <c r="VMX23" s="623"/>
      <c r="VMY23" s="623"/>
      <c r="VMZ23" s="623"/>
      <c r="VNA23" s="623"/>
      <c r="VNB23" s="623"/>
      <c r="VNC23" s="623"/>
      <c r="VND23" s="623"/>
      <c r="VNE23" s="623"/>
      <c r="VNF23" s="623"/>
      <c r="VNG23" s="623"/>
      <c r="VNH23" s="623"/>
      <c r="VNI23" s="623"/>
      <c r="VNJ23" s="623"/>
      <c r="VNK23" s="623"/>
      <c r="VNL23" s="623"/>
      <c r="VNM23" s="623"/>
      <c r="VNN23" s="623"/>
      <c r="VNO23" s="623"/>
      <c r="VNP23" s="623"/>
      <c r="VNQ23" s="623"/>
      <c r="VNR23" s="623"/>
      <c r="VNS23" s="623"/>
      <c r="VNT23" s="623"/>
      <c r="VNU23" s="623"/>
      <c r="VNV23" s="623"/>
      <c r="VNW23" s="623"/>
      <c r="VNX23" s="623"/>
      <c r="VNY23" s="623"/>
      <c r="VNZ23" s="623"/>
      <c r="VOA23" s="623"/>
      <c r="VOB23" s="623"/>
      <c r="VOC23" s="623"/>
      <c r="VOD23" s="623"/>
      <c r="VOE23" s="623"/>
      <c r="VOF23" s="623"/>
      <c r="VOG23" s="623"/>
      <c r="VOH23" s="623"/>
      <c r="VOI23" s="623"/>
      <c r="VOJ23" s="623"/>
      <c r="VOK23" s="623"/>
      <c r="VOL23" s="623"/>
      <c r="VOM23" s="623"/>
      <c r="VON23" s="623"/>
      <c r="VOO23" s="623"/>
      <c r="VOP23" s="623"/>
      <c r="VOQ23" s="623"/>
      <c r="VOR23" s="623"/>
      <c r="VOS23" s="623"/>
      <c r="VOT23" s="623"/>
      <c r="VOU23" s="623"/>
      <c r="VOV23" s="623"/>
      <c r="VOW23" s="623"/>
      <c r="VOX23" s="623"/>
      <c r="VOY23" s="623"/>
      <c r="VOZ23" s="623"/>
      <c r="VPA23" s="623"/>
      <c r="VPB23" s="623"/>
      <c r="VPC23" s="623"/>
      <c r="VPD23" s="623"/>
      <c r="VPE23" s="623"/>
      <c r="VPF23" s="623"/>
      <c r="VPG23" s="623"/>
      <c r="VPH23" s="623"/>
      <c r="VPI23" s="623"/>
      <c r="VPJ23" s="623"/>
      <c r="VPK23" s="623"/>
      <c r="VPL23" s="623"/>
      <c r="VPM23" s="623"/>
      <c r="VPN23" s="623"/>
      <c r="VPO23" s="623"/>
      <c r="VPP23" s="623"/>
      <c r="VPQ23" s="623"/>
      <c r="VPR23" s="623"/>
      <c r="VPS23" s="623"/>
      <c r="VPT23" s="623"/>
      <c r="VPU23" s="623"/>
      <c r="VPV23" s="623"/>
      <c r="VPW23" s="623"/>
      <c r="VPX23" s="623"/>
      <c r="VPY23" s="623"/>
      <c r="VPZ23" s="623"/>
      <c r="VQA23" s="623"/>
      <c r="VQB23" s="623"/>
      <c r="VQC23" s="623"/>
      <c r="VQD23" s="623"/>
      <c r="VQE23" s="623"/>
      <c r="VQF23" s="623"/>
      <c r="VQG23" s="623"/>
      <c r="VQH23" s="623"/>
      <c r="VQI23" s="623"/>
      <c r="VQJ23" s="623"/>
      <c r="VQK23" s="623"/>
      <c r="VQL23" s="623"/>
      <c r="VQM23" s="623"/>
      <c r="VQN23" s="623"/>
      <c r="VQO23" s="623"/>
      <c r="VQP23" s="623"/>
      <c r="VQQ23" s="623"/>
      <c r="VQR23" s="623"/>
      <c r="VQS23" s="623"/>
      <c r="VQT23" s="623"/>
      <c r="VQU23" s="623"/>
      <c r="VQV23" s="623"/>
      <c r="VQW23" s="623"/>
      <c r="VQX23" s="623"/>
      <c r="VQY23" s="623"/>
      <c r="VQZ23" s="623"/>
      <c r="VRA23" s="623"/>
      <c r="VRB23" s="623"/>
      <c r="VRC23" s="623"/>
      <c r="VRD23" s="623"/>
      <c r="VRE23" s="623"/>
      <c r="VRF23" s="623"/>
      <c r="VRG23" s="623"/>
      <c r="VRH23" s="623"/>
      <c r="VRI23" s="623"/>
      <c r="VRJ23" s="623"/>
      <c r="VRK23" s="623"/>
      <c r="VRL23" s="623"/>
      <c r="VRM23" s="623"/>
      <c r="VRN23" s="623"/>
      <c r="VRO23" s="623"/>
      <c r="VRP23" s="623"/>
      <c r="VRQ23" s="623"/>
      <c r="VRR23" s="623"/>
      <c r="VRS23" s="623"/>
      <c r="VRT23" s="623"/>
      <c r="VRU23" s="623"/>
      <c r="VRV23" s="623"/>
      <c r="VRW23" s="623"/>
      <c r="VRX23" s="623"/>
      <c r="VRY23" s="623"/>
      <c r="VRZ23" s="623"/>
      <c r="VSA23" s="623"/>
      <c r="VSB23" s="623"/>
      <c r="VSC23" s="623"/>
      <c r="VSD23" s="623"/>
      <c r="VSE23" s="623"/>
      <c r="VSF23" s="623"/>
      <c r="VSG23" s="623"/>
      <c r="VSH23" s="623"/>
      <c r="VSI23" s="623"/>
      <c r="VSJ23" s="623"/>
      <c r="VSK23" s="623"/>
      <c r="VSL23" s="623"/>
      <c r="VSM23" s="623"/>
      <c r="VSN23" s="623"/>
      <c r="VSO23" s="623"/>
      <c r="VSP23" s="623"/>
      <c r="VSQ23" s="623"/>
      <c r="VSR23" s="623"/>
      <c r="VSS23" s="623"/>
      <c r="VST23" s="623"/>
      <c r="VSU23" s="623"/>
      <c r="VSV23" s="623"/>
      <c r="VSW23" s="623"/>
      <c r="VSX23" s="623"/>
      <c r="VSY23" s="623"/>
      <c r="VSZ23" s="623"/>
      <c r="VTA23" s="623"/>
      <c r="VTB23" s="623"/>
      <c r="VTC23" s="623"/>
      <c r="VTD23" s="623"/>
      <c r="VTE23" s="623"/>
      <c r="VTF23" s="623"/>
      <c r="VTG23" s="623"/>
      <c r="VTH23" s="623"/>
      <c r="VTI23" s="623"/>
      <c r="VTJ23" s="623"/>
      <c r="VTK23" s="623"/>
      <c r="VTL23" s="623"/>
      <c r="VTM23" s="623"/>
      <c r="VTN23" s="623"/>
      <c r="VTO23" s="623"/>
      <c r="VTP23" s="623"/>
      <c r="VTQ23" s="623"/>
      <c r="VTR23" s="623"/>
      <c r="VTS23" s="623"/>
      <c r="VTT23" s="623"/>
      <c r="VTU23" s="623"/>
      <c r="VTV23" s="623"/>
      <c r="VTW23" s="623"/>
      <c r="VTX23" s="623"/>
      <c r="VTY23" s="623"/>
      <c r="VTZ23" s="623"/>
      <c r="VUA23" s="623"/>
      <c r="VUB23" s="623"/>
      <c r="VUC23" s="623"/>
      <c r="VUD23" s="623"/>
      <c r="VUE23" s="623"/>
      <c r="VUF23" s="623"/>
      <c r="VUG23" s="623"/>
      <c r="VUH23" s="623"/>
      <c r="VUI23" s="623"/>
      <c r="VUJ23" s="623"/>
      <c r="VUK23" s="623"/>
      <c r="VUL23" s="623"/>
      <c r="VUM23" s="623"/>
      <c r="VUN23" s="623"/>
      <c r="VUO23" s="623"/>
      <c r="VUP23" s="623"/>
      <c r="VUQ23" s="623"/>
      <c r="VUR23" s="623"/>
      <c r="VUS23" s="623"/>
      <c r="VUT23" s="623"/>
      <c r="VUU23" s="623"/>
      <c r="VUV23" s="623"/>
      <c r="VUW23" s="623"/>
      <c r="VUX23" s="623"/>
      <c r="VUY23" s="623"/>
      <c r="VUZ23" s="623"/>
      <c r="VVA23" s="623"/>
      <c r="VVB23" s="623"/>
      <c r="VVC23" s="623"/>
      <c r="VVD23" s="623"/>
      <c r="VVE23" s="623"/>
      <c r="VVF23" s="623"/>
      <c r="VVG23" s="623"/>
      <c r="VVH23" s="623"/>
      <c r="VVI23" s="623"/>
      <c r="VVJ23" s="623"/>
      <c r="VVK23" s="623"/>
      <c r="VVL23" s="623"/>
      <c r="VVM23" s="623"/>
      <c r="VVN23" s="623"/>
      <c r="VVO23" s="623"/>
      <c r="VVP23" s="623"/>
      <c r="VVQ23" s="623"/>
      <c r="VVR23" s="623"/>
      <c r="VVS23" s="623"/>
      <c r="VVT23" s="623"/>
      <c r="VVU23" s="623"/>
      <c r="VVV23" s="623"/>
      <c r="VVW23" s="623"/>
      <c r="VVX23" s="623"/>
      <c r="VVY23" s="623"/>
      <c r="VVZ23" s="623"/>
      <c r="VWA23" s="623"/>
      <c r="VWB23" s="623"/>
      <c r="VWC23" s="623"/>
      <c r="VWD23" s="623"/>
      <c r="VWE23" s="623"/>
      <c r="VWF23" s="623"/>
      <c r="VWG23" s="623"/>
      <c r="VWH23" s="623"/>
      <c r="VWI23" s="623"/>
      <c r="VWJ23" s="623"/>
      <c r="VWK23" s="623"/>
      <c r="VWL23" s="623"/>
      <c r="VWM23" s="623"/>
      <c r="VWN23" s="623"/>
      <c r="VWO23" s="623"/>
      <c r="VWP23" s="623"/>
      <c r="VWQ23" s="623"/>
      <c r="VWR23" s="623"/>
      <c r="VWS23" s="623"/>
      <c r="VWT23" s="623"/>
      <c r="VWU23" s="623"/>
      <c r="VWV23" s="623"/>
      <c r="VWW23" s="623"/>
      <c r="VWX23" s="623"/>
      <c r="VWY23" s="623"/>
      <c r="VWZ23" s="623"/>
      <c r="VXA23" s="623"/>
      <c r="VXB23" s="623"/>
      <c r="VXC23" s="623"/>
      <c r="VXD23" s="623"/>
      <c r="VXE23" s="623"/>
      <c r="VXF23" s="623"/>
      <c r="VXG23" s="623"/>
      <c r="VXH23" s="623"/>
      <c r="VXI23" s="623"/>
      <c r="VXJ23" s="623"/>
      <c r="VXK23" s="623"/>
      <c r="VXL23" s="623"/>
      <c r="VXM23" s="623"/>
      <c r="VXN23" s="623"/>
      <c r="VXO23" s="623"/>
      <c r="VXP23" s="623"/>
      <c r="VXQ23" s="623"/>
      <c r="VXR23" s="623"/>
      <c r="VXS23" s="623"/>
      <c r="VXT23" s="623"/>
      <c r="VXU23" s="623"/>
      <c r="VXV23" s="623"/>
      <c r="VXW23" s="623"/>
      <c r="VXX23" s="623"/>
      <c r="VXY23" s="623"/>
      <c r="VXZ23" s="623"/>
      <c r="VYA23" s="623"/>
      <c r="VYB23" s="623"/>
      <c r="VYC23" s="623"/>
      <c r="VYD23" s="623"/>
      <c r="VYE23" s="623"/>
      <c r="VYF23" s="623"/>
      <c r="VYG23" s="623"/>
      <c r="VYH23" s="623"/>
      <c r="VYI23" s="623"/>
      <c r="VYJ23" s="623"/>
      <c r="VYK23" s="623"/>
      <c r="VYL23" s="623"/>
      <c r="VYM23" s="623"/>
      <c r="VYN23" s="623"/>
      <c r="VYO23" s="623"/>
      <c r="VYP23" s="623"/>
      <c r="VYQ23" s="623"/>
      <c r="VYR23" s="623"/>
      <c r="VYS23" s="623"/>
      <c r="VYT23" s="623"/>
      <c r="VYU23" s="623"/>
      <c r="VYV23" s="623"/>
      <c r="VYW23" s="623"/>
      <c r="VYX23" s="623"/>
      <c r="VYY23" s="623"/>
      <c r="VYZ23" s="623"/>
      <c r="VZA23" s="623"/>
      <c r="VZB23" s="623"/>
      <c r="VZC23" s="623"/>
      <c r="VZD23" s="623"/>
      <c r="VZE23" s="623"/>
      <c r="VZF23" s="623"/>
      <c r="VZG23" s="623"/>
      <c r="VZH23" s="623"/>
      <c r="VZI23" s="623"/>
      <c r="VZJ23" s="623"/>
      <c r="VZK23" s="623"/>
      <c r="VZL23" s="623"/>
      <c r="VZM23" s="623"/>
      <c r="VZN23" s="623"/>
      <c r="VZO23" s="623"/>
      <c r="VZP23" s="623"/>
      <c r="VZQ23" s="623"/>
      <c r="VZR23" s="623"/>
      <c r="VZS23" s="623"/>
      <c r="VZT23" s="623"/>
      <c r="VZU23" s="623"/>
      <c r="VZV23" s="623"/>
      <c r="VZW23" s="623"/>
      <c r="VZX23" s="623"/>
      <c r="VZY23" s="623"/>
      <c r="VZZ23" s="623"/>
      <c r="WAA23" s="623"/>
      <c r="WAB23" s="623"/>
      <c r="WAC23" s="623"/>
      <c r="WAD23" s="623"/>
      <c r="WAE23" s="623"/>
      <c r="WAF23" s="623"/>
      <c r="WAG23" s="623"/>
      <c r="WAH23" s="623"/>
      <c r="WAI23" s="623"/>
      <c r="WAJ23" s="623"/>
      <c r="WAK23" s="623"/>
      <c r="WAL23" s="623"/>
      <c r="WAM23" s="623"/>
      <c r="WAN23" s="623"/>
      <c r="WAO23" s="623"/>
      <c r="WAP23" s="623"/>
      <c r="WAQ23" s="623"/>
      <c r="WAR23" s="623"/>
      <c r="WAS23" s="623"/>
      <c r="WAT23" s="623"/>
      <c r="WAU23" s="623"/>
      <c r="WAV23" s="623"/>
      <c r="WAW23" s="623"/>
      <c r="WAX23" s="623"/>
      <c r="WAY23" s="623"/>
      <c r="WAZ23" s="623"/>
      <c r="WBA23" s="623"/>
      <c r="WBB23" s="623"/>
      <c r="WBC23" s="623"/>
      <c r="WBD23" s="623"/>
      <c r="WBE23" s="623"/>
      <c r="WBF23" s="623"/>
      <c r="WBG23" s="623"/>
      <c r="WBH23" s="623"/>
      <c r="WBI23" s="623"/>
      <c r="WBJ23" s="623"/>
      <c r="WBK23" s="623"/>
      <c r="WBL23" s="623"/>
      <c r="WBM23" s="623"/>
      <c r="WBN23" s="623"/>
      <c r="WBO23" s="623"/>
      <c r="WBP23" s="623"/>
      <c r="WBQ23" s="623"/>
      <c r="WBR23" s="623"/>
      <c r="WBS23" s="623"/>
      <c r="WBT23" s="623"/>
      <c r="WBU23" s="623"/>
      <c r="WBV23" s="623"/>
      <c r="WBW23" s="623"/>
      <c r="WBX23" s="623"/>
      <c r="WBY23" s="623"/>
      <c r="WBZ23" s="623"/>
      <c r="WCA23" s="623"/>
      <c r="WCB23" s="623"/>
      <c r="WCC23" s="623"/>
      <c r="WCD23" s="623"/>
      <c r="WCE23" s="623"/>
      <c r="WCF23" s="623"/>
      <c r="WCG23" s="623"/>
      <c r="WCH23" s="623"/>
      <c r="WCI23" s="623"/>
      <c r="WCJ23" s="623"/>
      <c r="WCK23" s="623"/>
      <c r="WCL23" s="623"/>
      <c r="WCM23" s="623"/>
      <c r="WCN23" s="623"/>
      <c r="WCO23" s="623"/>
      <c r="WCP23" s="623"/>
      <c r="WCQ23" s="623"/>
      <c r="WCR23" s="623"/>
      <c r="WCS23" s="623"/>
      <c r="WCT23" s="623"/>
      <c r="WCU23" s="623"/>
      <c r="WCV23" s="623"/>
      <c r="WCW23" s="623"/>
      <c r="WCX23" s="623"/>
      <c r="WCY23" s="623"/>
      <c r="WCZ23" s="623"/>
      <c r="WDA23" s="623"/>
      <c r="WDB23" s="623"/>
      <c r="WDC23" s="623"/>
      <c r="WDD23" s="623"/>
      <c r="WDE23" s="623"/>
      <c r="WDF23" s="623"/>
      <c r="WDG23" s="623"/>
      <c r="WDH23" s="623"/>
      <c r="WDI23" s="623"/>
      <c r="WDJ23" s="623"/>
      <c r="WDK23" s="623"/>
      <c r="WDL23" s="623"/>
      <c r="WDM23" s="623"/>
      <c r="WDN23" s="623"/>
      <c r="WDO23" s="623"/>
      <c r="WDP23" s="623"/>
      <c r="WDQ23" s="623"/>
      <c r="WDR23" s="623"/>
      <c r="WDS23" s="623"/>
      <c r="WDT23" s="623"/>
      <c r="WDU23" s="623"/>
      <c r="WDV23" s="623"/>
      <c r="WDW23" s="623"/>
      <c r="WDX23" s="623"/>
      <c r="WDY23" s="623"/>
      <c r="WDZ23" s="623"/>
      <c r="WEA23" s="623"/>
      <c r="WEB23" s="623"/>
      <c r="WEC23" s="623"/>
      <c r="WED23" s="623"/>
      <c r="WEE23" s="623"/>
      <c r="WEF23" s="623"/>
      <c r="WEG23" s="623"/>
      <c r="WEH23" s="623"/>
      <c r="WEI23" s="623"/>
      <c r="WEJ23" s="623"/>
      <c r="WEK23" s="623"/>
      <c r="WEL23" s="623"/>
      <c r="WEM23" s="623"/>
      <c r="WEN23" s="623"/>
      <c r="WEO23" s="623"/>
      <c r="WEP23" s="623"/>
      <c r="WEQ23" s="623"/>
      <c r="WER23" s="623"/>
      <c r="WES23" s="623"/>
      <c r="WET23" s="623"/>
      <c r="WEU23" s="623"/>
      <c r="WEV23" s="623"/>
      <c r="WEW23" s="623"/>
      <c r="WEX23" s="623"/>
      <c r="WEY23" s="623"/>
      <c r="WEZ23" s="623"/>
      <c r="WFA23" s="623"/>
      <c r="WFB23" s="623"/>
      <c r="WFC23" s="623"/>
      <c r="WFD23" s="623"/>
      <c r="WFE23" s="623"/>
      <c r="WFF23" s="623"/>
      <c r="WFG23" s="623"/>
      <c r="WFH23" s="623"/>
      <c r="WFI23" s="623"/>
      <c r="WFJ23" s="623"/>
      <c r="WFK23" s="623"/>
      <c r="WFL23" s="623"/>
      <c r="WFM23" s="623"/>
      <c r="WFN23" s="623"/>
      <c r="WFO23" s="623"/>
      <c r="WFP23" s="623"/>
      <c r="WFQ23" s="623"/>
      <c r="WFR23" s="623"/>
      <c r="WFS23" s="623"/>
      <c r="WFT23" s="623"/>
      <c r="WFU23" s="623"/>
      <c r="WFV23" s="623"/>
      <c r="WFW23" s="623"/>
      <c r="WFX23" s="623"/>
      <c r="WFY23" s="623"/>
      <c r="WFZ23" s="623"/>
      <c r="WGA23" s="623"/>
      <c r="WGB23" s="623"/>
      <c r="WGC23" s="623"/>
      <c r="WGD23" s="623"/>
      <c r="WGE23" s="623"/>
      <c r="WGF23" s="623"/>
      <c r="WGG23" s="623"/>
      <c r="WGH23" s="623"/>
      <c r="WGI23" s="623"/>
      <c r="WGJ23" s="623"/>
      <c r="WGK23" s="623"/>
      <c r="WGL23" s="623"/>
      <c r="WGM23" s="623"/>
      <c r="WGN23" s="623"/>
      <c r="WGO23" s="623"/>
      <c r="WGP23" s="623"/>
      <c r="WGQ23" s="623"/>
      <c r="WGR23" s="623"/>
      <c r="WGS23" s="623"/>
      <c r="WGT23" s="623"/>
      <c r="WGU23" s="623"/>
      <c r="WGV23" s="623"/>
      <c r="WGW23" s="623"/>
      <c r="WGX23" s="623"/>
      <c r="WGY23" s="623"/>
      <c r="WGZ23" s="623"/>
      <c r="WHA23" s="623"/>
      <c r="WHB23" s="623"/>
      <c r="WHC23" s="623"/>
      <c r="WHD23" s="623"/>
      <c r="WHE23" s="623"/>
      <c r="WHF23" s="623"/>
      <c r="WHG23" s="623"/>
      <c r="WHH23" s="623"/>
      <c r="WHI23" s="623"/>
      <c r="WHJ23" s="623"/>
      <c r="WHK23" s="623"/>
      <c r="WHL23" s="623"/>
      <c r="WHM23" s="623"/>
      <c r="WHN23" s="623"/>
      <c r="WHO23" s="623"/>
      <c r="WHP23" s="623"/>
      <c r="WHQ23" s="623"/>
      <c r="WHR23" s="623"/>
      <c r="WHS23" s="623"/>
      <c r="WHT23" s="623"/>
      <c r="WHU23" s="623"/>
      <c r="WHV23" s="623"/>
      <c r="WHW23" s="623"/>
      <c r="WHX23" s="623"/>
      <c r="WHY23" s="623"/>
      <c r="WHZ23" s="623"/>
      <c r="WIA23" s="623"/>
      <c r="WIB23" s="623"/>
      <c r="WIC23" s="623"/>
      <c r="WID23" s="623"/>
      <c r="WIE23" s="623"/>
      <c r="WIF23" s="623"/>
      <c r="WIG23" s="623"/>
      <c r="WIH23" s="623"/>
      <c r="WII23" s="623"/>
      <c r="WIJ23" s="623"/>
      <c r="WIK23" s="623"/>
      <c r="WIL23" s="623"/>
      <c r="WIM23" s="623"/>
      <c r="WIN23" s="623"/>
      <c r="WIO23" s="623"/>
      <c r="WIP23" s="623"/>
      <c r="WIQ23" s="623"/>
      <c r="WIR23" s="623"/>
      <c r="WIS23" s="623"/>
      <c r="WIT23" s="623"/>
      <c r="WIU23" s="623"/>
      <c r="WIV23" s="623"/>
      <c r="WIW23" s="623"/>
      <c r="WIX23" s="623"/>
      <c r="WIY23" s="623"/>
      <c r="WIZ23" s="623"/>
      <c r="WJA23" s="623"/>
      <c r="WJB23" s="623"/>
      <c r="WJC23" s="623"/>
      <c r="WJD23" s="623"/>
      <c r="WJE23" s="623"/>
      <c r="WJF23" s="623"/>
      <c r="WJG23" s="623"/>
      <c r="WJH23" s="623"/>
      <c r="WJI23" s="623"/>
      <c r="WJJ23" s="623"/>
      <c r="WJK23" s="623"/>
      <c r="WJL23" s="623"/>
      <c r="WJM23" s="623"/>
      <c r="WJN23" s="623"/>
      <c r="WJO23" s="623"/>
      <c r="WJP23" s="623"/>
      <c r="WJQ23" s="623"/>
      <c r="WJR23" s="623"/>
      <c r="WJS23" s="623"/>
      <c r="WJT23" s="623"/>
      <c r="WJU23" s="623"/>
      <c r="WJV23" s="623"/>
      <c r="WJW23" s="623"/>
      <c r="WJX23" s="623"/>
      <c r="WJY23" s="623"/>
      <c r="WJZ23" s="623"/>
      <c r="WKA23" s="623"/>
      <c r="WKB23" s="623"/>
      <c r="WKC23" s="623"/>
      <c r="WKD23" s="623"/>
      <c r="WKE23" s="623"/>
      <c r="WKF23" s="623"/>
      <c r="WKG23" s="623"/>
      <c r="WKH23" s="623"/>
      <c r="WKI23" s="623"/>
      <c r="WKJ23" s="623"/>
      <c r="WKK23" s="623"/>
      <c r="WKL23" s="623"/>
      <c r="WKM23" s="623"/>
      <c r="WKN23" s="623"/>
      <c r="WKO23" s="623"/>
      <c r="WKP23" s="623"/>
      <c r="WKQ23" s="623"/>
      <c r="WKR23" s="623"/>
      <c r="WKS23" s="623"/>
      <c r="WKT23" s="623"/>
      <c r="WKU23" s="623"/>
      <c r="WKV23" s="623"/>
      <c r="WKW23" s="623"/>
      <c r="WKX23" s="623"/>
      <c r="WKY23" s="623"/>
      <c r="WKZ23" s="623"/>
      <c r="WLA23" s="623"/>
      <c r="WLB23" s="623"/>
      <c r="WLC23" s="623"/>
      <c r="WLD23" s="623"/>
      <c r="WLE23" s="623"/>
      <c r="WLF23" s="623"/>
      <c r="WLG23" s="623"/>
      <c r="WLH23" s="623"/>
      <c r="WLI23" s="623"/>
      <c r="WLJ23" s="623"/>
      <c r="WLK23" s="623"/>
      <c r="WLL23" s="623"/>
      <c r="WLM23" s="623"/>
      <c r="WLN23" s="623"/>
      <c r="WLO23" s="623"/>
      <c r="WLP23" s="623"/>
      <c r="WLQ23" s="623"/>
      <c r="WLR23" s="623"/>
      <c r="WLS23" s="623"/>
      <c r="WLT23" s="623"/>
      <c r="WLU23" s="623"/>
      <c r="WLV23" s="623"/>
      <c r="WLW23" s="623"/>
      <c r="WLX23" s="623"/>
      <c r="WLY23" s="623"/>
      <c r="WLZ23" s="623"/>
      <c r="WMA23" s="623"/>
      <c r="WMB23" s="623"/>
      <c r="WMC23" s="623"/>
      <c r="WMD23" s="623"/>
      <c r="WME23" s="623"/>
      <c r="WMF23" s="623"/>
      <c r="WMG23" s="623"/>
      <c r="WMH23" s="623"/>
      <c r="WMI23" s="623"/>
      <c r="WMJ23" s="623"/>
      <c r="WMK23" s="623"/>
      <c r="WML23" s="623"/>
      <c r="WMM23" s="623"/>
      <c r="WMN23" s="623"/>
      <c r="WMO23" s="623"/>
      <c r="WMP23" s="623"/>
      <c r="WMQ23" s="623"/>
      <c r="WMR23" s="623"/>
      <c r="WMS23" s="623"/>
      <c r="WMT23" s="623"/>
      <c r="WMU23" s="623"/>
      <c r="WMV23" s="623"/>
      <c r="WMW23" s="623"/>
      <c r="WMX23" s="623"/>
      <c r="WMY23" s="623"/>
      <c r="WMZ23" s="623"/>
      <c r="WNA23" s="623"/>
      <c r="WNB23" s="623"/>
      <c r="WNC23" s="623"/>
      <c r="WND23" s="623"/>
      <c r="WNE23" s="623"/>
      <c r="WNF23" s="623"/>
      <c r="WNG23" s="623"/>
      <c r="WNH23" s="623"/>
      <c r="WNI23" s="623"/>
      <c r="WNJ23" s="623"/>
      <c r="WNK23" s="623"/>
      <c r="WNL23" s="623"/>
      <c r="WNM23" s="623"/>
      <c r="WNN23" s="623"/>
      <c r="WNO23" s="623"/>
      <c r="WNP23" s="623"/>
      <c r="WNQ23" s="623"/>
      <c r="WNR23" s="623"/>
      <c r="WNS23" s="623"/>
      <c r="WNT23" s="623"/>
      <c r="WNU23" s="623"/>
      <c r="WNV23" s="623"/>
      <c r="WNW23" s="623"/>
      <c r="WNX23" s="623"/>
      <c r="WNY23" s="623"/>
      <c r="WNZ23" s="623"/>
      <c r="WOA23" s="623"/>
      <c r="WOB23" s="623"/>
      <c r="WOC23" s="623"/>
      <c r="WOD23" s="623"/>
      <c r="WOE23" s="623"/>
      <c r="WOF23" s="623"/>
      <c r="WOG23" s="623"/>
      <c r="WOH23" s="623"/>
      <c r="WOI23" s="623"/>
      <c r="WOJ23" s="623"/>
      <c r="WOK23" s="623"/>
      <c r="WOL23" s="623"/>
      <c r="WOM23" s="623"/>
      <c r="WON23" s="623"/>
      <c r="WOO23" s="623"/>
      <c r="WOP23" s="623"/>
      <c r="WOQ23" s="623"/>
      <c r="WOR23" s="623"/>
      <c r="WOS23" s="623"/>
      <c r="WOT23" s="623"/>
      <c r="WOU23" s="623"/>
      <c r="WOV23" s="623"/>
      <c r="WOW23" s="623"/>
      <c r="WOX23" s="623"/>
      <c r="WOY23" s="623"/>
      <c r="WOZ23" s="623"/>
      <c r="WPA23" s="623"/>
      <c r="WPB23" s="623"/>
      <c r="WPC23" s="623"/>
      <c r="WPD23" s="623"/>
      <c r="WPE23" s="623"/>
      <c r="WPF23" s="623"/>
      <c r="WPG23" s="623"/>
      <c r="WPH23" s="623"/>
      <c r="WPI23" s="623"/>
      <c r="WPJ23" s="623"/>
      <c r="WPK23" s="623"/>
      <c r="WPL23" s="623"/>
      <c r="WPM23" s="623"/>
      <c r="WPN23" s="623"/>
      <c r="WPO23" s="623"/>
      <c r="WPP23" s="623"/>
      <c r="WPQ23" s="623"/>
      <c r="WPR23" s="623"/>
      <c r="WPS23" s="623"/>
      <c r="WPT23" s="623"/>
      <c r="WPU23" s="623"/>
      <c r="WPV23" s="623"/>
      <c r="WPW23" s="623"/>
      <c r="WPX23" s="623"/>
      <c r="WPY23" s="623"/>
      <c r="WPZ23" s="623"/>
      <c r="WQA23" s="623"/>
      <c r="WQB23" s="623"/>
      <c r="WQC23" s="623"/>
      <c r="WQD23" s="623"/>
      <c r="WQE23" s="623"/>
      <c r="WQF23" s="623"/>
      <c r="WQG23" s="623"/>
      <c r="WQH23" s="623"/>
      <c r="WQI23" s="623"/>
      <c r="WQJ23" s="623"/>
      <c r="WQK23" s="623"/>
      <c r="WQL23" s="623"/>
      <c r="WQM23" s="623"/>
      <c r="WQN23" s="623"/>
      <c r="WQO23" s="623"/>
      <c r="WQP23" s="623"/>
      <c r="WQQ23" s="623"/>
      <c r="WQR23" s="623"/>
      <c r="WQS23" s="623"/>
      <c r="WQT23" s="623"/>
      <c r="WQU23" s="623"/>
      <c r="WQV23" s="623"/>
      <c r="WQW23" s="623"/>
      <c r="WQX23" s="623"/>
      <c r="WQY23" s="623"/>
      <c r="WQZ23" s="623"/>
      <c r="WRA23" s="623"/>
      <c r="WRB23" s="623"/>
      <c r="WRC23" s="623"/>
      <c r="WRD23" s="623"/>
      <c r="WRE23" s="623"/>
      <c r="WRF23" s="623"/>
      <c r="WRG23" s="623"/>
      <c r="WRH23" s="623"/>
      <c r="WRI23" s="623"/>
      <c r="WRJ23" s="623"/>
      <c r="WRK23" s="623"/>
      <c r="WRL23" s="623"/>
      <c r="WRM23" s="623"/>
      <c r="WRN23" s="623"/>
      <c r="WRO23" s="623"/>
      <c r="WRP23" s="623"/>
      <c r="WRQ23" s="623"/>
      <c r="WRR23" s="623"/>
      <c r="WRS23" s="623"/>
      <c r="WRT23" s="623"/>
      <c r="WRU23" s="623"/>
      <c r="WRV23" s="623"/>
      <c r="WRW23" s="623"/>
      <c r="WRX23" s="623"/>
      <c r="WRY23" s="623"/>
      <c r="WRZ23" s="623"/>
      <c r="WSA23" s="623"/>
      <c r="WSB23" s="623"/>
      <c r="WSC23" s="623"/>
      <c r="WSD23" s="623"/>
      <c r="WSE23" s="623"/>
      <c r="WSF23" s="623"/>
      <c r="WSG23" s="623"/>
      <c r="WSH23" s="623"/>
      <c r="WSI23" s="623"/>
      <c r="WSJ23" s="623"/>
      <c r="WSK23" s="623"/>
      <c r="WSL23" s="623"/>
      <c r="WSM23" s="623"/>
      <c r="WSN23" s="623"/>
      <c r="WSO23" s="623"/>
      <c r="WSP23" s="623"/>
      <c r="WSQ23" s="623"/>
      <c r="WSR23" s="623"/>
      <c r="WSS23" s="623"/>
      <c r="WST23" s="623"/>
      <c r="WSU23" s="623"/>
      <c r="WSV23" s="623"/>
      <c r="WSW23" s="623"/>
      <c r="WSX23" s="623"/>
      <c r="WSY23" s="623"/>
      <c r="WSZ23" s="623"/>
      <c r="WTA23" s="623"/>
      <c r="WTB23" s="623"/>
      <c r="WTC23" s="623"/>
      <c r="WTD23" s="623"/>
      <c r="WTE23" s="623"/>
      <c r="WTF23" s="623"/>
      <c r="WTG23" s="623"/>
      <c r="WTH23" s="623"/>
      <c r="WTI23" s="623"/>
      <c r="WTJ23" s="623"/>
      <c r="WTK23" s="623"/>
      <c r="WTL23" s="623"/>
      <c r="WTM23" s="623"/>
      <c r="WTN23" s="623"/>
      <c r="WTO23" s="623"/>
      <c r="WTP23" s="623"/>
      <c r="WTQ23" s="623"/>
      <c r="WTR23" s="623"/>
      <c r="WTS23" s="623"/>
      <c r="WTT23" s="623"/>
      <c r="WTU23" s="623"/>
      <c r="WTV23" s="623"/>
      <c r="WTW23" s="623"/>
      <c r="WTX23" s="623"/>
      <c r="WTY23" s="623"/>
      <c r="WTZ23" s="623"/>
      <c r="WUA23" s="623"/>
      <c r="WUB23" s="623"/>
      <c r="WUC23" s="623"/>
      <c r="WUD23" s="623"/>
      <c r="WUE23" s="623"/>
      <c r="WUF23" s="623"/>
      <c r="WUG23" s="623"/>
      <c r="WUH23" s="623"/>
      <c r="WUI23" s="623"/>
      <c r="WUJ23" s="623"/>
      <c r="WUK23" s="623"/>
      <c r="WUL23" s="623"/>
      <c r="WUM23" s="623"/>
      <c r="WUN23" s="623"/>
      <c r="WUO23" s="623"/>
      <c r="WUP23" s="623"/>
      <c r="WUQ23" s="623"/>
      <c r="WUR23" s="623"/>
      <c r="WUS23" s="623"/>
      <c r="WUT23" s="623"/>
      <c r="WUU23" s="623"/>
      <c r="WUV23" s="623"/>
      <c r="WUW23" s="623"/>
      <c r="WUX23" s="623"/>
      <c r="WUY23" s="623"/>
      <c r="WUZ23" s="623"/>
      <c r="WVA23" s="623"/>
      <c r="WVB23" s="623"/>
      <c r="WVC23" s="623"/>
      <c r="WVD23" s="623"/>
      <c r="WVE23" s="623"/>
      <c r="WVF23" s="623"/>
      <c r="WVG23" s="623"/>
      <c r="WVH23" s="623"/>
      <c r="WVI23" s="623"/>
      <c r="WVJ23" s="623"/>
      <c r="WVK23" s="623"/>
      <c r="WVL23" s="623"/>
      <c r="WVM23" s="623"/>
      <c r="WVN23" s="623"/>
      <c r="WVO23" s="623"/>
      <c r="WVP23" s="623"/>
      <c r="WVQ23" s="623"/>
      <c r="WVR23" s="623"/>
      <c r="WVS23" s="623"/>
      <c r="WVT23" s="623"/>
      <c r="WVU23" s="623"/>
      <c r="WVV23" s="623"/>
      <c r="WVW23" s="623"/>
      <c r="WVX23" s="623"/>
      <c r="WVY23" s="623"/>
      <c r="WVZ23" s="623"/>
      <c r="WWA23" s="623"/>
      <c r="WWB23" s="623"/>
      <c r="WWC23" s="623"/>
      <c r="WWD23" s="623"/>
      <c r="WWE23" s="623"/>
      <c r="WWF23" s="623"/>
      <c r="WWG23" s="623"/>
      <c r="WWH23" s="623"/>
      <c r="WWI23" s="623"/>
      <c r="WWJ23" s="623"/>
      <c r="WWK23" s="623"/>
      <c r="WWL23" s="623"/>
      <c r="WWM23" s="623"/>
      <c r="WWN23" s="623"/>
      <c r="WWO23" s="623"/>
      <c r="WWP23" s="623"/>
      <c r="WWQ23" s="623"/>
      <c r="WWR23" s="623"/>
      <c r="WWS23" s="623"/>
      <c r="WWT23" s="623"/>
      <c r="WWU23" s="623"/>
      <c r="WWV23" s="623"/>
      <c r="WWW23" s="623"/>
      <c r="WWX23" s="623"/>
      <c r="WWY23" s="623"/>
      <c r="WWZ23" s="623"/>
      <c r="WXA23" s="623"/>
      <c r="WXB23" s="623"/>
      <c r="WXC23" s="623"/>
      <c r="WXD23" s="623"/>
      <c r="WXE23" s="623"/>
      <c r="WXF23" s="623"/>
      <c r="WXG23" s="623"/>
      <c r="WXH23" s="623"/>
      <c r="WXI23" s="623"/>
      <c r="WXJ23" s="623"/>
      <c r="WXK23" s="623"/>
      <c r="WXL23" s="623"/>
      <c r="WXM23" s="623"/>
      <c r="WXN23" s="623"/>
      <c r="WXO23" s="623"/>
      <c r="WXP23" s="623"/>
      <c r="WXQ23" s="623"/>
      <c r="WXR23" s="623"/>
      <c r="WXS23" s="623"/>
      <c r="WXT23" s="623"/>
      <c r="WXU23" s="623"/>
      <c r="WXV23" s="623"/>
      <c r="WXW23" s="623"/>
      <c r="WXX23" s="623"/>
      <c r="WXY23" s="623"/>
      <c r="WXZ23" s="623"/>
      <c r="WYA23" s="623"/>
      <c r="WYB23" s="623"/>
      <c r="WYC23" s="623"/>
      <c r="WYD23" s="623"/>
      <c r="WYE23" s="623"/>
      <c r="WYF23" s="623"/>
      <c r="WYG23" s="623"/>
      <c r="WYH23" s="623"/>
      <c r="WYI23" s="623"/>
      <c r="WYJ23" s="623"/>
      <c r="WYK23" s="623"/>
      <c r="WYL23" s="623"/>
      <c r="WYM23" s="623"/>
      <c r="WYN23" s="623"/>
      <c r="WYO23" s="623"/>
      <c r="WYP23" s="623"/>
      <c r="WYQ23" s="623"/>
      <c r="WYR23" s="623"/>
      <c r="WYS23" s="623"/>
      <c r="WYT23" s="623"/>
      <c r="WYU23" s="623"/>
      <c r="WYV23" s="623"/>
      <c r="WYW23" s="623"/>
      <c r="WYX23" s="623"/>
      <c r="WYY23" s="623"/>
      <c r="WYZ23" s="623"/>
      <c r="WZA23" s="623"/>
      <c r="WZB23" s="623"/>
      <c r="WZC23" s="623"/>
      <c r="WZD23" s="623"/>
      <c r="WZE23" s="623"/>
      <c r="WZF23" s="623"/>
      <c r="WZG23" s="623"/>
      <c r="WZH23" s="623"/>
      <c r="WZI23" s="623"/>
      <c r="WZJ23" s="623"/>
      <c r="WZK23" s="623"/>
      <c r="WZL23" s="623"/>
      <c r="WZM23" s="623"/>
      <c r="WZN23" s="623"/>
      <c r="WZO23" s="623"/>
      <c r="WZP23" s="623"/>
      <c r="WZQ23" s="623"/>
      <c r="WZR23" s="623"/>
      <c r="WZS23" s="623"/>
      <c r="WZT23" s="623"/>
      <c r="WZU23" s="623"/>
      <c r="WZV23" s="623"/>
      <c r="WZW23" s="623"/>
      <c r="WZX23" s="623"/>
      <c r="WZY23" s="623"/>
      <c r="WZZ23" s="623"/>
      <c r="XAA23" s="623"/>
      <c r="XAB23" s="623"/>
      <c r="XAC23" s="623"/>
      <c r="XAD23" s="623"/>
      <c r="XAE23" s="623"/>
      <c r="XAF23" s="623"/>
      <c r="XAG23" s="623"/>
      <c r="XAH23" s="623"/>
      <c r="XAI23" s="623"/>
      <c r="XAJ23" s="623"/>
      <c r="XAK23" s="623"/>
      <c r="XAL23" s="623"/>
      <c r="XAM23" s="623"/>
      <c r="XAN23" s="623"/>
      <c r="XAO23" s="623"/>
      <c r="XAP23" s="623"/>
      <c r="XAQ23" s="623"/>
      <c r="XAR23" s="623"/>
      <c r="XAS23" s="623"/>
      <c r="XAT23" s="623"/>
      <c r="XAU23" s="623"/>
      <c r="XAV23" s="623"/>
      <c r="XAW23" s="623"/>
      <c r="XAX23" s="623"/>
      <c r="XAY23" s="623"/>
      <c r="XAZ23" s="623"/>
      <c r="XBA23" s="623"/>
      <c r="XBB23" s="623"/>
      <c r="XBC23" s="623"/>
      <c r="XBD23" s="623"/>
      <c r="XBE23" s="623"/>
      <c r="XBF23" s="623"/>
      <c r="XBG23" s="623"/>
      <c r="XBH23" s="623"/>
      <c r="XBI23" s="623"/>
      <c r="XBJ23" s="623"/>
      <c r="XBK23" s="623"/>
      <c r="XBL23" s="623"/>
      <c r="XBM23" s="623"/>
      <c r="XBN23" s="623"/>
      <c r="XBO23" s="623"/>
      <c r="XBP23" s="623"/>
      <c r="XBQ23" s="623"/>
      <c r="XBR23" s="623"/>
      <c r="XBS23" s="623"/>
      <c r="XBT23" s="623"/>
      <c r="XBU23" s="623"/>
      <c r="XBV23" s="623"/>
      <c r="XBW23" s="623"/>
      <c r="XBX23" s="623"/>
      <c r="XBY23" s="623"/>
      <c r="XBZ23" s="623"/>
      <c r="XCA23" s="623"/>
      <c r="XCB23" s="623"/>
      <c r="XCC23" s="623"/>
      <c r="XCD23" s="623"/>
      <c r="XCE23" s="623"/>
      <c r="XCF23" s="623"/>
      <c r="XCG23" s="623"/>
      <c r="XCH23" s="623"/>
      <c r="XCI23" s="623"/>
      <c r="XCJ23" s="623"/>
      <c r="XCK23" s="623"/>
      <c r="XCL23" s="623"/>
      <c r="XCM23" s="623"/>
      <c r="XCN23" s="623"/>
      <c r="XCO23" s="623"/>
      <c r="XCP23" s="623"/>
      <c r="XCQ23" s="623"/>
      <c r="XCR23" s="623"/>
      <c r="XCS23" s="623"/>
      <c r="XCT23" s="623"/>
      <c r="XCU23" s="623"/>
      <c r="XCV23" s="623"/>
      <c r="XCW23" s="623"/>
      <c r="XCX23" s="623"/>
      <c r="XCY23" s="623"/>
      <c r="XCZ23" s="623"/>
      <c r="XDA23" s="623"/>
      <c r="XDB23" s="623"/>
      <c r="XDC23" s="623"/>
      <c r="XDD23" s="623"/>
      <c r="XDE23" s="623"/>
      <c r="XDF23" s="623"/>
      <c r="XDG23" s="623"/>
      <c r="XDH23" s="623"/>
      <c r="XDI23" s="623"/>
      <c r="XDJ23" s="623"/>
      <c r="XDK23" s="623"/>
      <c r="XDL23" s="623"/>
      <c r="XDM23" s="623"/>
      <c r="XDN23" s="623"/>
      <c r="XDO23" s="623"/>
      <c r="XDP23" s="623"/>
      <c r="XDQ23" s="623"/>
      <c r="XDR23" s="623"/>
      <c r="XDS23" s="623"/>
      <c r="XDT23" s="623"/>
      <c r="XDU23" s="623"/>
      <c r="XDV23" s="623"/>
      <c r="XDW23" s="623"/>
      <c r="XDX23" s="623"/>
      <c r="XDY23" s="623"/>
      <c r="XDZ23" s="623"/>
      <c r="XEA23" s="623"/>
      <c r="XEB23" s="623"/>
      <c r="XEC23" s="623"/>
      <c r="XED23" s="623"/>
      <c r="XEE23" s="623"/>
      <c r="XEF23" s="623"/>
      <c r="XEG23" s="623"/>
      <c r="XEH23" s="623"/>
      <c r="XEI23" s="623"/>
      <c r="XEJ23" s="623"/>
      <c r="XEK23" s="623"/>
      <c r="XEL23" s="623"/>
      <c r="XEM23" s="623"/>
      <c r="XEN23" s="623"/>
      <c r="XEO23" s="623"/>
      <c r="XEP23" s="623"/>
      <c r="XEQ23" s="623"/>
      <c r="XER23" s="623"/>
      <c r="XES23" s="623"/>
      <c r="XET23" s="623"/>
      <c r="XEU23" s="623"/>
      <c r="XEV23" s="623"/>
      <c r="XEW23" s="623"/>
      <c r="XEX23" s="623"/>
      <c r="XEY23" s="623"/>
      <c r="XEZ23" s="623"/>
      <c r="XFA23" s="623"/>
      <c r="XFB23" s="623"/>
      <c r="XFC23" s="623"/>
      <c r="XFD23" s="623"/>
    </row>
    <row r="24" spans="1:16384">
      <c r="A24" s="196"/>
    </row>
  </sheetData>
  <mergeCells count="2353">
    <mergeCell ref="XDY23:XEE23"/>
    <mergeCell ref="XEF23:XEL23"/>
    <mergeCell ref="XEM23:XES23"/>
    <mergeCell ref="XET23:XEZ23"/>
    <mergeCell ref="XFA23:XFD23"/>
    <mergeCell ref="XCP23:XCV23"/>
    <mergeCell ref="XCW23:XDC23"/>
    <mergeCell ref="XDD23:XDJ23"/>
    <mergeCell ref="XDK23:XDQ23"/>
    <mergeCell ref="XDR23:XDX23"/>
    <mergeCell ref="XBG23:XBM23"/>
    <mergeCell ref="XBN23:XBT23"/>
    <mergeCell ref="XBU23:XCA23"/>
    <mergeCell ref="XCB23:XCH23"/>
    <mergeCell ref="XCI23:XCO23"/>
    <mergeCell ref="WZX23:XAD23"/>
    <mergeCell ref="XAE23:XAK23"/>
    <mergeCell ref="XAL23:XAR23"/>
    <mergeCell ref="XAS23:XAY23"/>
    <mergeCell ref="XAZ23:XBF23"/>
    <mergeCell ref="WYO23:WYU23"/>
    <mergeCell ref="WYV23:WZB23"/>
    <mergeCell ref="WZC23:WZI23"/>
    <mergeCell ref="WZJ23:WZP23"/>
    <mergeCell ref="WZQ23:WZW23"/>
    <mergeCell ref="WXF23:WXL23"/>
    <mergeCell ref="WXM23:WXS23"/>
    <mergeCell ref="WXT23:WXZ23"/>
    <mergeCell ref="WYA23:WYG23"/>
    <mergeCell ref="WYH23:WYN23"/>
    <mergeCell ref="WVW23:WWC23"/>
    <mergeCell ref="WWD23:WWJ23"/>
    <mergeCell ref="WWK23:WWQ23"/>
    <mergeCell ref="WWR23:WWX23"/>
    <mergeCell ref="WWY23:WXE23"/>
    <mergeCell ref="WUN23:WUT23"/>
    <mergeCell ref="WUU23:WVA23"/>
    <mergeCell ref="WVB23:WVH23"/>
    <mergeCell ref="WVI23:WVO23"/>
    <mergeCell ref="WVP23:WVV23"/>
    <mergeCell ref="WTE23:WTK23"/>
    <mergeCell ref="WTL23:WTR23"/>
    <mergeCell ref="WTS23:WTY23"/>
    <mergeCell ref="WTZ23:WUF23"/>
    <mergeCell ref="WUG23:WUM23"/>
    <mergeCell ref="WRV23:WSB23"/>
    <mergeCell ref="WSC23:WSI23"/>
    <mergeCell ref="WSJ23:WSP23"/>
    <mergeCell ref="WSQ23:WSW23"/>
    <mergeCell ref="WSX23:WTD23"/>
    <mergeCell ref="WQM23:WQS23"/>
    <mergeCell ref="WQT23:WQZ23"/>
    <mergeCell ref="WRA23:WRG23"/>
    <mergeCell ref="WRH23:WRN23"/>
    <mergeCell ref="WRO23:WRU23"/>
    <mergeCell ref="WPD23:WPJ23"/>
    <mergeCell ref="WPK23:WPQ23"/>
    <mergeCell ref="WPR23:WPX23"/>
    <mergeCell ref="WPY23:WQE23"/>
    <mergeCell ref="WQF23:WQL23"/>
    <mergeCell ref="WNU23:WOA23"/>
    <mergeCell ref="WOB23:WOH23"/>
    <mergeCell ref="WOI23:WOO23"/>
    <mergeCell ref="WOP23:WOV23"/>
    <mergeCell ref="WOW23:WPC23"/>
    <mergeCell ref="WML23:WMR23"/>
    <mergeCell ref="WMS23:WMY23"/>
    <mergeCell ref="WMZ23:WNF23"/>
    <mergeCell ref="WNG23:WNM23"/>
    <mergeCell ref="WNN23:WNT23"/>
    <mergeCell ref="WLC23:WLI23"/>
    <mergeCell ref="WLJ23:WLP23"/>
    <mergeCell ref="WLQ23:WLW23"/>
    <mergeCell ref="WLX23:WMD23"/>
    <mergeCell ref="WME23:WMK23"/>
    <mergeCell ref="WJT23:WJZ23"/>
    <mergeCell ref="WKA23:WKG23"/>
    <mergeCell ref="WKH23:WKN23"/>
    <mergeCell ref="WKO23:WKU23"/>
    <mergeCell ref="WKV23:WLB23"/>
    <mergeCell ref="WIK23:WIQ23"/>
    <mergeCell ref="WIR23:WIX23"/>
    <mergeCell ref="WIY23:WJE23"/>
    <mergeCell ref="WJF23:WJL23"/>
    <mergeCell ref="WJM23:WJS23"/>
    <mergeCell ref="WHB23:WHH23"/>
    <mergeCell ref="WHI23:WHO23"/>
    <mergeCell ref="WHP23:WHV23"/>
    <mergeCell ref="WHW23:WIC23"/>
    <mergeCell ref="WID23:WIJ23"/>
    <mergeCell ref="WFS23:WFY23"/>
    <mergeCell ref="WFZ23:WGF23"/>
    <mergeCell ref="WGG23:WGM23"/>
    <mergeCell ref="WGN23:WGT23"/>
    <mergeCell ref="WGU23:WHA23"/>
    <mergeCell ref="WEJ23:WEP23"/>
    <mergeCell ref="WEQ23:WEW23"/>
    <mergeCell ref="WEX23:WFD23"/>
    <mergeCell ref="WFE23:WFK23"/>
    <mergeCell ref="WFL23:WFR23"/>
    <mergeCell ref="WDA23:WDG23"/>
    <mergeCell ref="WDH23:WDN23"/>
    <mergeCell ref="WDO23:WDU23"/>
    <mergeCell ref="WDV23:WEB23"/>
    <mergeCell ref="WEC23:WEI23"/>
    <mergeCell ref="WBR23:WBX23"/>
    <mergeCell ref="WBY23:WCE23"/>
    <mergeCell ref="WCF23:WCL23"/>
    <mergeCell ref="WCM23:WCS23"/>
    <mergeCell ref="WCT23:WCZ23"/>
    <mergeCell ref="WAI23:WAO23"/>
    <mergeCell ref="WAP23:WAV23"/>
    <mergeCell ref="WAW23:WBC23"/>
    <mergeCell ref="WBD23:WBJ23"/>
    <mergeCell ref="WBK23:WBQ23"/>
    <mergeCell ref="VYZ23:VZF23"/>
    <mergeCell ref="VZG23:VZM23"/>
    <mergeCell ref="VZN23:VZT23"/>
    <mergeCell ref="VZU23:WAA23"/>
    <mergeCell ref="WAB23:WAH23"/>
    <mergeCell ref="VXQ23:VXW23"/>
    <mergeCell ref="VXX23:VYD23"/>
    <mergeCell ref="VYE23:VYK23"/>
    <mergeCell ref="VYL23:VYR23"/>
    <mergeCell ref="VYS23:VYY23"/>
    <mergeCell ref="VWH23:VWN23"/>
    <mergeCell ref="VWO23:VWU23"/>
    <mergeCell ref="VWV23:VXB23"/>
    <mergeCell ref="VXC23:VXI23"/>
    <mergeCell ref="VXJ23:VXP23"/>
    <mergeCell ref="VUY23:VVE23"/>
    <mergeCell ref="VVF23:VVL23"/>
    <mergeCell ref="VVM23:VVS23"/>
    <mergeCell ref="VVT23:VVZ23"/>
    <mergeCell ref="VWA23:VWG23"/>
    <mergeCell ref="VTP23:VTV23"/>
    <mergeCell ref="VTW23:VUC23"/>
    <mergeCell ref="VUD23:VUJ23"/>
    <mergeCell ref="VUK23:VUQ23"/>
    <mergeCell ref="VUR23:VUX23"/>
    <mergeCell ref="VSG23:VSM23"/>
    <mergeCell ref="VSN23:VST23"/>
    <mergeCell ref="VSU23:VTA23"/>
    <mergeCell ref="VTB23:VTH23"/>
    <mergeCell ref="VTI23:VTO23"/>
    <mergeCell ref="VQX23:VRD23"/>
    <mergeCell ref="VRE23:VRK23"/>
    <mergeCell ref="VRL23:VRR23"/>
    <mergeCell ref="VRS23:VRY23"/>
    <mergeCell ref="VRZ23:VSF23"/>
    <mergeCell ref="VPO23:VPU23"/>
    <mergeCell ref="VPV23:VQB23"/>
    <mergeCell ref="VQC23:VQI23"/>
    <mergeCell ref="VQJ23:VQP23"/>
    <mergeCell ref="VQQ23:VQW23"/>
    <mergeCell ref="VOF23:VOL23"/>
    <mergeCell ref="VOM23:VOS23"/>
    <mergeCell ref="VOT23:VOZ23"/>
    <mergeCell ref="VPA23:VPG23"/>
    <mergeCell ref="VPH23:VPN23"/>
    <mergeCell ref="VMW23:VNC23"/>
    <mergeCell ref="VND23:VNJ23"/>
    <mergeCell ref="VNK23:VNQ23"/>
    <mergeCell ref="VNR23:VNX23"/>
    <mergeCell ref="VNY23:VOE23"/>
    <mergeCell ref="VLN23:VLT23"/>
    <mergeCell ref="VLU23:VMA23"/>
    <mergeCell ref="VMB23:VMH23"/>
    <mergeCell ref="VMI23:VMO23"/>
    <mergeCell ref="VMP23:VMV23"/>
    <mergeCell ref="VKE23:VKK23"/>
    <mergeCell ref="VKL23:VKR23"/>
    <mergeCell ref="VKS23:VKY23"/>
    <mergeCell ref="VKZ23:VLF23"/>
    <mergeCell ref="VLG23:VLM23"/>
    <mergeCell ref="VIV23:VJB23"/>
    <mergeCell ref="VJC23:VJI23"/>
    <mergeCell ref="VJJ23:VJP23"/>
    <mergeCell ref="VJQ23:VJW23"/>
    <mergeCell ref="VJX23:VKD23"/>
    <mergeCell ref="VHM23:VHS23"/>
    <mergeCell ref="VHT23:VHZ23"/>
    <mergeCell ref="VIA23:VIG23"/>
    <mergeCell ref="VIH23:VIN23"/>
    <mergeCell ref="VIO23:VIU23"/>
    <mergeCell ref="VGD23:VGJ23"/>
    <mergeCell ref="VGK23:VGQ23"/>
    <mergeCell ref="VGR23:VGX23"/>
    <mergeCell ref="VGY23:VHE23"/>
    <mergeCell ref="VHF23:VHL23"/>
    <mergeCell ref="VEU23:VFA23"/>
    <mergeCell ref="VFB23:VFH23"/>
    <mergeCell ref="VFI23:VFO23"/>
    <mergeCell ref="VFP23:VFV23"/>
    <mergeCell ref="VFW23:VGC23"/>
    <mergeCell ref="VDL23:VDR23"/>
    <mergeCell ref="VDS23:VDY23"/>
    <mergeCell ref="VDZ23:VEF23"/>
    <mergeCell ref="VEG23:VEM23"/>
    <mergeCell ref="VEN23:VET23"/>
    <mergeCell ref="VCC23:VCI23"/>
    <mergeCell ref="VCJ23:VCP23"/>
    <mergeCell ref="VCQ23:VCW23"/>
    <mergeCell ref="VCX23:VDD23"/>
    <mergeCell ref="VDE23:VDK23"/>
    <mergeCell ref="VAT23:VAZ23"/>
    <mergeCell ref="VBA23:VBG23"/>
    <mergeCell ref="VBH23:VBN23"/>
    <mergeCell ref="VBO23:VBU23"/>
    <mergeCell ref="VBV23:VCB23"/>
    <mergeCell ref="UZK23:UZQ23"/>
    <mergeCell ref="UZR23:UZX23"/>
    <mergeCell ref="UZY23:VAE23"/>
    <mergeCell ref="VAF23:VAL23"/>
    <mergeCell ref="VAM23:VAS23"/>
    <mergeCell ref="UYB23:UYH23"/>
    <mergeCell ref="UYI23:UYO23"/>
    <mergeCell ref="UYP23:UYV23"/>
    <mergeCell ref="UYW23:UZC23"/>
    <mergeCell ref="UZD23:UZJ23"/>
    <mergeCell ref="UWS23:UWY23"/>
    <mergeCell ref="UWZ23:UXF23"/>
    <mergeCell ref="UXG23:UXM23"/>
    <mergeCell ref="UXN23:UXT23"/>
    <mergeCell ref="UXU23:UYA23"/>
    <mergeCell ref="UVJ23:UVP23"/>
    <mergeCell ref="UVQ23:UVW23"/>
    <mergeCell ref="UVX23:UWD23"/>
    <mergeCell ref="UWE23:UWK23"/>
    <mergeCell ref="UWL23:UWR23"/>
    <mergeCell ref="UUA23:UUG23"/>
    <mergeCell ref="UUH23:UUN23"/>
    <mergeCell ref="UUO23:UUU23"/>
    <mergeCell ref="UUV23:UVB23"/>
    <mergeCell ref="UVC23:UVI23"/>
    <mergeCell ref="USR23:USX23"/>
    <mergeCell ref="USY23:UTE23"/>
    <mergeCell ref="UTF23:UTL23"/>
    <mergeCell ref="UTM23:UTS23"/>
    <mergeCell ref="UTT23:UTZ23"/>
    <mergeCell ref="URI23:URO23"/>
    <mergeCell ref="URP23:URV23"/>
    <mergeCell ref="URW23:USC23"/>
    <mergeCell ref="USD23:USJ23"/>
    <mergeCell ref="USK23:USQ23"/>
    <mergeCell ref="UPZ23:UQF23"/>
    <mergeCell ref="UQG23:UQM23"/>
    <mergeCell ref="UQN23:UQT23"/>
    <mergeCell ref="UQU23:URA23"/>
    <mergeCell ref="URB23:URH23"/>
    <mergeCell ref="UOQ23:UOW23"/>
    <mergeCell ref="UOX23:UPD23"/>
    <mergeCell ref="UPE23:UPK23"/>
    <mergeCell ref="UPL23:UPR23"/>
    <mergeCell ref="UPS23:UPY23"/>
    <mergeCell ref="UNH23:UNN23"/>
    <mergeCell ref="UNO23:UNU23"/>
    <mergeCell ref="UNV23:UOB23"/>
    <mergeCell ref="UOC23:UOI23"/>
    <mergeCell ref="UOJ23:UOP23"/>
    <mergeCell ref="ULY23:UME23"/>
    <mergeCell ref="UMF23:UML23"/>
    <mergeCell ref="UMM23:UMS23"/>
    <mergeCell ref="UMT23:UMZ23"/>
    <mergeCell ref="UNA23:UNG23"/>
    <mergeCell ref="UKP23:UKV23"/>
    <mergeCell ref="UKW23:ULC23"/>
    <mergeCell ref="ULD23:ULJ23"/>
    <mergeCell ref="ULK23:ULQ23"/>
    <mergeCell ref="ULR23:ULX23"/>
    <mergeCell ref="UJG23:UJM23"/>
    <mergeCell ref="UJN23:UJT23"/>
    <mergeCell ref="UJU23:UKA23"/>
    <mergeCell ref="UKB23:UKH23"/>
    <mergeCell ref="UKI23:UKO23"/>
    <mergeCell ref="UHX23:UID23"/>
    <mergeCell ref="UIE23:UIK23"/>
    <mergeCell ref="UIL23:UIR23"/>
    <mergeCell ref="UIS23:UIY23"/>
    <mergeCell ref="UIZ23:UJF23"/>
    <mergeCell ref="UGO23:UGU23"/>
    <mergeCell ref="UGV23:UHB23"/>
    <mergeCell ref="UHC23:UHI23"/>
    <mergeCell ref="UHJ23:UHP23"/>
    <mergeCell ref="UHQ23:UHW23"/>
    <mergeCell ref="UFF23:UFL23"/>
    <mergeCell ref="UFM23:UFS23"/>
    <mergeCell ref="UFT23:UFZ23"/>
    <mergeCell ref="UGA23:UGG23"/>
    <mergeCell ref="UGH23:UGN23"/>
    <mergeCell ref="UDW23:UEC23"/>
    <mergeCell ref="UED23:UEJ23"/>
    <mergeCell ref="UEK23:UEQ23"/>
    <mergeCell ref="UER23:UEX23"/>
    <mergeCell ref="UEY23:UFE23"/>
    <mergeCell ref="UCN23:UCT23"/>
    <mergeCell ref="UCU23:UDA23"/>
    <mergeCell ref="UDB23:UDH23"/>
    <mergeCell ref="UDI23:UDO23"/>
    <mergeCell ref="UDP23:UDV23"/>
    <mergeCell ref="UBE23:UBK23"/>
    <mergeCell ref="UBL23:UBR23"/>
    <mergeCell ref="UBS23:UBY23"/>
    <mergeCell ref="UBZ23:UCF23"/>
    <mergeCell ref="UCG23:UCM23"/>
    <mergeCell ref="TZV23:UAB23"/>
    <mergeCell ref="UAC23:UAI23"/>
    <mergeCell ref="UAJ23:UAP23"/>
    <mergeCell ref="UAQ23:UAW23"/>
    <mergeCell ref="UAX23:UBD23"/>
    <mergeCell ref="TYM23:TYS23"/>
    <mergeCell ref="TYT23:TYZ23"/>
    <mergeCell ref="TZA23:TZG23"/>
    <mergeCell ref="TZH23:TZN23"/>
    <mergeCell ref="TZO23:TZU23"/>
    <mergeCell ref="TXD23:TXJ23"/>
    <mergeCell ref="TXK23:TXQ23"/>
    <mergeCell ref="TXR23:TXX23"/>
    <mergeCell ref="TXY23:TYE23"/>
    <mergeCell ref="TYF23:TYL23"/>
    <mergeCell ref="TVU23:TWA23"/>
    <mergeCell ref="TWB23:TWH23"/>
    <mergeCell ref="TWI23:TWO23"/>
    <mergeCell ref="TWP23:TWV23"/>
    <mergeCell ref="TWW23:TXC23"/>
    <mergeCell ref="TUL23:TUR23"/>
    <mergeCell ref="TUS23:TUY23"/>
    <mergeCell ref="TUZ23:TVF23"/>
    <mergeCell ref="TVG23:TVM23"/>
    <mergeCell ref="TVN23:TVT23"/>
    <mergeCell ref="TTC23:TTI23"/>
    <mergeCell ref="TTJ23:TTP23"/>
    <mergeCell ref="TTQ23:TTW23"/>
    <mergeCell ref="TTX23:TUD23"/>
    <mergeCell ref="TUE23:TUK23"/>
    <mergeCell ref="TRT23:TRZ23"/>
    <mergeCell ref="TSA23:TSG23"/>
    <mergeCell ref="TSH23:TSN23"/>
    <mergeCell ref="TSO23:TSU23"/>
    <mergeCell ref="TSV23:TTB23"/>
    <mergeCell ref="TQK23:TQQ23"/>
    <mergeCell ref="TQR23:TQX23"/>
    <mergeCell ref="TQY23:TRE23"/>
    <mergeCell ref="TRF23:TRL23"/>
    <mergeCell ref="TRM23:TRS23"/>
    <mergeCell ref="TPB23:TPH23"/>
    <mergeCell ref="TPI23:TPO23"/>
    <mergeCell ref="TPP23:TPV23"/>
    <mergeCell ref="TPW23:TQC23"/>
    <mergeCell ref="TQD23:TQJ23"/>
    <mergeCell ref="TNS23:TNY23"/>
    <mergeCell ref="TNZ23:TOF23"/>
    <mergeCell ref="TOG23:TOM23"/>
    <mergeCell ref="TON23:TOT23"/>
    <mergeCell ref="TOU23:TPA23"/>
    <mergeCell ref="TMJ23:TMP23"/>
    <mergeCell ref="TMQ23:TMW23"/>
    <mergeCell ref="TMX23:TND23"/>
    <mergeCell ref="TNE23:TNK23"/>
    <mergeCell ref="TNL23:TNR23"/>
    <mergeCell ref="TLA23:TLG23"/>
    <mergeCell ref="TLH23:TLN23"/>
    <mergeCell ref="TLO23:TLU23"/>
    <mergeCell ref="TLV23:TMB23"/>
    <mergeCell ref="TMC23:TMI23"/>
    <mergeCell ref="TJR23:TJX23"/>
    <mergeCell ref="TJY23:TKE23"/>
    <mergeCell ref="TKF23:TKL23"/>
    <mergeCell ref="TKM23:TKS23"/>
    <mergeCell ref="TKT23:TKZ23"/>
    <mergeCell ref="TII23:TIO23"/>
    <mergeCell ref="TIP23:TIV23"/>
    <mergeCell ref="TIW23:TJC23"/>
    <mergeCell ref="TJD23:TJJ23"/>
    <mergeCell ref="TJK23:TJQ23"/>
    <mergeCell ref="TGZ23:THF23"/>
    <mergeCell ref="THG23:THM23"/>
    <mergeCell ref="THN23:THT23"/>
    <mergeCell ref="THU23:TIA23"/>
    <mergeCell ref="TIB23:TIH23"/>
    <mergeCell ref="TFQ23:TFW23"/>
    <mergeCell ref="TFX23:TGD23"/>
    <mergeCell ref="TGE23:TGK23"/>
    <mergeCell ref="TGL23:TGR23"/>
    <mergeCell ref="TGS23:TGY23"/>
    <mergeCell ref="TEH23:TEN23"/>
    <mergeCell ref="TEO23:TEU23"/>
    <mergeCell ref="TEV23:TFB23"/>
    <mergeCell ref="TFC23:TFI23"/>
    <mergeCell ref="TFJ23:TFP23"/>
    <mergeCell ref="TCY23:TDE23"/>
    <mergeCell ref="TDF23:TDL23"/>
    <mergeCell ref="TDM23:TDS23"/>
    <mergeCell ref="TDT23:TDZ23"/>
    <mergeCell ref="TEA23:TEG23"/>
    <mergeCell ref="TBP23:TBV23"/>
    <mergeCell ref="TBW23:TCC23"/>
    <mergeCell ref="TCD23:TCJ23"/>
    <mergeCell ref="TCK23:TCQ23"/>
    <mergeCell ref="TCR23:TCX23"/>
    <mergeCell ref="TAG23:TAM23"/>
    <mergeCell ref="TAN23:TAT23"/>
    <mergeCell ref="TAU23:TBA23"/>
    <mergeCell ref="TBB23:TBH23"/>
    <mergeCell ref="TBI23:TBO23"/>
    <mergeCell ref="SYX23:SZD23"/>
    <mergeCell ref="SZE23:SZK23"/>
    <mergeCell ref="SZL23:SZR23"/>
    <mergeCell ref="SZS23:SZY23"/>
    <mergeCell ref="SZZ23:TAF23"/>
    <mergeCell ref="SXO23:SXU23"/>
    <mergeCell ref="SXV23:SYB23"/>
    <mergeCell ref="SYC23:SYI23"/>
    <mergeCell ref="SYJ23:SYP23"/>
    <mergeCell ref="SYQ23:SYW23"/>
    <mergeCell ref="SWF23:SWL23"/>
    <mergeCell ref="SWM23:SWS23"/>
    <mergeCell ref="SWT23:SWZ23"/>
    <mergeCell ref="SXA23:SXG23"/>
    <mergeCell ref="SXH23:SXN23"/>
    <mergeCell ref="SUW23:SVC23"/>
    <mergeCell ref="SVD23:SVJ23"/>
    <mergeCell ref="SVK23:SVQ23"/>
    <mergeCell ref="SVR23:SVX23"/>
    <mergeCell ref="SVY23:SWE23"/>
    <mergeCell ref="STN23:STT23"/>
    <mergeCell ref="STU23:SUA23"/>
    <mergeCell ref="SUB23:SUH23"/>
    <mergeCell ref="SUI23:SUO23"/>
    <mergeCell ref="SUP23:SUV23"/>
    <mergeCell ref="SSE23:SSK23"/>
    <mergeCell ref="SSL23:SSR23"/>
    <mergeCell ref="SSS23:SSY23"/>
    <mergeCell ref="SSZ23:STF23"/>
    <mergeCell ref="STG23:STM23"/>
    <mergeCell ref="SQV23:SRB23"/>
    <mergeCell ref="SRC23:SRI23"/>
    <mergeCell ref="SRJ23:SRP23"/>
    <mergeCell ref="SRQ23:SRW23"/>
    <mergeCell ref="SRX23:SSD23"/>
    <mergeCell ref="SPM23:SPS23"/>
    <mergeCell ref="SPT23:SPZ23"/>
    <mergeCell ref="SQA23:SQG23"/>
    <mergeCell ref="SQH23:SQN23"/>
    <mergeCell ref="SQO23:SQU23"/>
    <mergeCell ref="SOD23:SOJ23"/>
    <mergeCell ref="SOK23:SOQ23"/>
    <mergeCell ref="SOR23:SOX23"/>
    <mergeCell ref="SOY23:SPE23"/>
    <mergeCell ref="SPF23:SPL23"/>
    <mergeCell ref="SMU23:SNA23"/>
    <mergeCell ref="SNB23:SNH23"/>
    <mergeCell ref="SNI23:SNO23"/>
    <mergeCell ref="SNP23:SNV23"/>
    <mergeCell ref="SNW23:SOC23"/>
    <mergeCell ref="SLL23:SLR23"/>
    <mergeCell ref="SLS23:SLY23"/>
    <mergeCell ref="SLZ23:SMF23"/>
    <mergeCell ref="SMG23:SMM23"/>
    <mergeCell ref="SMN23:SMT23"/>
    <mergeCell ref="SKC23:SKI23"/>
    <mergeCell ref="SKJ23:SKP23"/>
    <mergeCell ref="SKQ23:SKW23"/>
    <mergeCell ref="SKX23:SLD23"/>
    <mergeCell ref="SLE23:SLK23"/>
    <mergeCell ref="SIT23:SIZ23"/>
    <mergeCell ref="SJA23:SJG23"/>
    <mergeCell ref="SJH23:SJN23"/>
    <mergeCell ref="SJO23:SJU23"/>
    <mergeCell ref="SJV23:SKB23"/>
    <mergeCell ref="SHK23:SHQ23"/>
    <mergeCell ref="SHR23:SHX23"/>
    <mergeCell ref="SHY23:SIE23"/>
    <mergeCell ref="SIF23:SIL23"/>
    <mergeCell ref="SIM23:SIS23"/>
    <mergeCell ref="SGB23:SGH23"/>
    <mergeCell ref="SGI23:SGO23"/>
    <mergeCell ref="SGP23:SGV23"/>
    <mergeCell ref="SGW23:SHC23"/>
    <mergeCell ref="SHD23:SHJ23"/>
    <mergeCell ref="SES23:SEY23"/>
    <mergeCell ref="SEZ23:SFF23"/>
    <mergeCell ref="SFG23:SFM23"/>
    <mergeCell ref="SFN23:SFT23"/>
    <mergeCell ref="SFU23:SGA23"/>
    <mergeCell ref="SDJ23:SDP23"/>
    <mergeCell ref="SDQ23:SDW23"/>
    <mergeCell ref="SDX23:SED23"/>
    <mergeCell ref="SEE23:SEK23"/>
    <mergeCell ref="SEL23:SER23"/>
    <mergeCell ref="SCA23:SCG23"/>
    <mergeCell ref="SCH23:SCN23"/>
    <mergeCell ref="SCO23:SCU23"/>
    <mergeCell ref="SCV23:SDB23"/>
    <mergeCell ref="SDC23:SDI23"/>
    <mergeCell ref="SAR23:SAX23"/>
    <mergeCell ref="SAY23:SBE23"/>
    <mergeCell ref="SBF23:SBL23"/>
    <mergeCell ref="SBM23:SBS23"/>
    <mergeCell ref="SBT23:SBZ23"/>
    <mergeCell ref="RZI23:RZO23"/>
    <mergeCell ref="RZP23:RZV23"/>
    <mergeCell ref="RZW23:SAC23"/>
    <mergeCell ref="SAD23:SAJ23"/>
    <mergeCell ref="SAK23:SAQ23"/>
    <mergeCell ref="RXZ23:RYF23"/>
    <mergeCell ref="RYG23:RYM23"/>
    <mergeCell ref="RYN23:RYT23"/>
    <mergeCell ref="RYU23:RZA23"/>
    <mergeCell ref="RZB23:RZH23"/>
    <mergeCell ref="RWQ23:RWW23"/>
    <mergeCell ref="RWX23:RXD23"/>
    <mergeCell ref="RXE23:RXK23"/>
    <mergeCell ref="RXL23:RXR23"/>
    <mergeCell ref="RXS23:RXY23"/>
    <mergeCell ref="RVH23:RVN23"/>
    <mergeCell ref="RVO23:RVU23"/>
    <mergeCell ref="RVV23:RWB23"/>
    <mergeCell ref="RWC23:RWI23"/>
    <mergeCell ref="RWJ23:RWP23"/>
    <mergeCell ref="RTY23:RUE23"/>
    <mergeCell ref="RUF23:RUL23"/>
    <mergeCell ref="RUM23:RUS23"/>
    <mergeCell ref="RUT23:RUZ23"/>
    <mergeCell ref="RVA23:RVG23"/>
    <mergeCell ref="RSP23:RSV23"/>
    <mergeCell ref="RSW23:RTC23"/>
    <mergeCell ref="RTD23:RTJ23"/>
    <mergeCell ref="RTK23:RTQ23"/>
    <mergeCell ref="RTR23:RTX23"/>
    <mergeCell ref="RRG23:RRM23"/>
    <mergeCell ref="RRN23:RRT23"/>
    <mergeCell ref="RRU23:RSA23"/>
    <mergeCell ref="RSB23:RSH23"/>
    <mergeCell ref="RSI23:RSO23"/>
    <mergeCell ref="RPX23:RQD23"/>
    <mergeCell ref="RQE23:RQK23"/>
    <mergeCell ref="RQL23:RQR23"/>
    <mergeCell ref="RQS23:RQY23"/>
    <mergeCell ref="RQZ23:RRF23"/>
    <mergeCell ref="ROO23:ROU23"/>
    <mergeCell ref="ROV23:RPB23"/>
    <mergeCell ref="RPC23:RPI23"/>
    <mergeCell ref="RPJ23:RPP23"/>
    <mergeCell ref="RPQ23:RPW23"/>
    <mergeCell ref="RNF23:RNL23"/>
    <mergeCell ref="RNM23:RNS23"/>
    <mergeCell ref="RNT23:RNZ23"/>
    <mergeCell ref="ROA23:ROG23"/>
    <mergeCell ref="ROH23:RON23"/>
    <mergeCell ref="RLW23:RMC23"/>
    <mergeCell ref="RMD23:RMJ23"/>
    <mergeCell ref="RMK23:RMQ23"/>
    <mergeCell ref="RMR23:RMX23"/>
    <mergeCell ref="RMY23:RNE23"/>
    <mergeCell ref="RKN23:RKT23"/>
    <mergeCell ref="RKU23:RLA23"/>
    <mergeCell ref="RLB23:RLH23"/>
    <mergeCell ref="RLI23:RLO23"/>
    <mergeCell ref="RLP23:RLV23"/>
    <mergeCell ref="RJE23:RJK23"/>
    <mergeCell ref="RJL23:RJR23"/>
    <mergeCell ref="RJS23:RJY23"/>
    <mergeCell ref="RJZ23:RKF23"/>
    <mergeCell ref="RKG23:RKM23"/>
    <mergeCell ref="RHV23:RIB23"/>
    <mergeCell ref="RIC23:RII23"/>
    <mergeCell ref="RIJ23:RIP23"/>
    <mergeCell ref="RIQ23:RIW23"/>
    <mergeCell ref="RIX23:RJD23"/>
    <mergeCell ref="RGM23:RGS23"/>
    <mergeCell ref="RGT23:RGZ23"/>
    <mergeCell ref="RHA23:RHG23"/>
    <mergeCell ref="RHH23:RHN23"/>
    <mergeCell ref="RHO23:RHU23"/>
    <mergeCell ref="RFD23:RFJ23"/>
    <mergeCell ref="RFK23:RFQ23"/>
    <mergeCell ref="RFR23:RFX23"/>
    <mergeCell ref="RFY23:RGE23"/>
    <mergeCell ref="RGF23:RGL23"/>
    <mergeCell ref="RDU23:REA23"/>
    <mergeCell ref="REB23:REH23"/>
    <mergeCell ref="REI23:REO23"/>
    <mergeCell ref="REP23:REV23"/>
    <mergeCell ref="REW23:RFC23"/>
    <mergeCell ref="RCL23:RCR23"/>
    <mergeCell ref="RCS23:RCY23"/>
    <mergeCell ref="RCZ23:RDF23"/>
    <mergeCell ref="RDG23:RDM23"/>
    <mergeCell ref="RDN23:RDT23"/>
    <mergeCell ref="RBC23:RBI23"/>
    <mergeCell ref="RBJ23:RBP23"/>
    <mergeCell ref="RBQ23:RBW23"/>
    <mergeCell ref="RBX23:RCD23"/>
    <mergeCell ref="RCE23:RCK23"/>
    <mergeCell ref="QZT23:QZZ23"/>
    <mergeCell ref="RAA23:RAG23"/>
    <mergeCell ref="RAH23:RAN23"/>
    <mergeCell ref="RAO23:RAU23"/>
    <mergeCell ref="RAV23:RBB23"/>
    <mergeCell ref="QYK23:QYQ23"/>
    <mergeCell ref="QYR23:QYX23"/>
    <mergeCell ref="QYY23:QZE23"/>
    <mergeCell ref="QZF23:QZL23"/>
    <mergeCell ref="QZM23:QZS23"/>
    <mergeCell ref="QXB23:QXH23"/>
    <mergeCell ref="QXI23:QXO23"/>
    <mergeCell ref="QXP23:QXV23"/>
    <mergeCell ref="QXW23:QYC23"/>
    <mergeCell ref="QYD23:QYJ23"/>
    <mergeCell ref="QVS23:QVY23"/>
    <mergeCell ref="QVZ23:QWF23"/>
    <mergeCell ref="QWG23:QWM23"/>
    <mergeCell ref="QWN23:QWT23"/>
    <mergeCell ref="QWU23:QXA23"/>
    <mergeCell ref="QUJ23:QUP23"/>
    <mergeCell ref="QUQ23:QUW23"/>
    <mergeCell ref="QUX23:QVD23"/>
    <mergeCell ref="QVE23:QVK23"/>
    <mergeCell ref="QVL23:QVR23"/>
    <mergeCell ref="QTA23:QTG23"/>
    <mergeCell ref="QTH23:QTN23"/>
    <mergeCell ref="QTO23:QTU23"/>
    <mergeCell ref="QTV23:QUB23"/>
    <mergeCell ref="QUC23:QUI23"/>
    <mergeCell ref="QRR23:QRX23"/>
    <mergeCell ref="QRY23:QSE23"/>
    <mergeCell ref="QSF23:QSL23"/>
    <mergeCell ref="QSM23:QSS23"/>
    <mergeCell ref="QST23:QSZ23"/>
    <mergeCell ref="QQI23:QQO23"/>
    <mergeCell ref="QQP23:QQV23"/>
    <mergeCell ref="QQW23:QRC23"/>
    <mergeCell ref="QRD23:QRJ23"/>
    <mergeCell ref="QRK23:QRQ23"/>
    <mergeCell ref="QOZ23:QPF23"/>
    <mergeCell ref="QPG23:QPM23"/>
    <mergeCell ref="QPN23:QPT23"/>
    <mergeCell ref="QPU23:QQA23"/>
    <mergeCell ref="QQB23:QQH23"/>
    <mergeCell ref="QNQ23:QNW23"/>
    <mergeCell ref="QNX23:QOD23"/>
    <mergeCell ref="QOE23:QOK23"/>
    <mergeCell ref="QOL23:QOR23"/>
    <mergeCell ref="QOS23:QOY23"/>
    <mergeCell ref="QMH23:QMN23"/>
    <mergeCell ref="QMO23:QMU23"/>
    <mergeCell ref="QMV23:QNB23"/>
    <mergeCell ref="QNC23:QNI23"/>
    <mergeCell ref="QNJ23:QNP23"/>
    <mergeCell ref="QKY23:QLE23"/>
    <mergeCell ref="QLF23:QLL23"/>
    <mergeCell ref="QLM23:QLS23"/>
    <mergeCell ref="QLT23:QLZ23"/>
    <mergeCell ref="QMA23:QMG23"/>
    <mergeCell ref="QJP23:QJV23"/>
    <mergeCell ref="QJW23:QKC23"/>
    <mergeCell ref="QKD23:QKJ23"/>
    <mergeCell ref="QKK23:QKQ23"/>
    <mergeCell ref="QKR23:QKX23"/>
    <mergeCell ref="QIG23:QIM23"/>
    <mergeCell ref="QIN23:QIT23"/>
    <mergeCell ref="QIU23:QJA23"/>
    <mergeCell ref="QJB23:QJH23"/>
    <mergeCell ref="QJI23:QJO23"/>
    <mergeCell ref="QGX23:QHD23"/>
    <mergeCell ref="QHE23:QHK23"/>
    <mergeCell ref="QHL23:QHR23"/>
    <mergeCell ref="QHS23:QHY23"/>
    <mergeCell ref="QHZ23:QIF23"/>
    <mergeCell ref="QFO23:QFU23"/>
    <mergeCell ref="QFV23:QGB23"/>
    <mergeCell ref="QGC23:QGI23"/>
    <mergeCell ref="QGJ23:QGP23"/>
    <mergeCell ref="QGQ23:QGW23"/>
    <mergeCell ref="QEF23:QEL23"/>
    <mergeCell ref="QEM23:QES23"/>
    <mergeCell ref="QET23:QEZ23"/>
    <mergeCell ref="QFA23:QFG23"/>
    <mergeCell ref="QFH23:QFN23"/>
    <mergeCell ref="QCW23:QDC23"/>
    <mergeCell ref="QDD23:QDJ23"/>
    <mergeCell ref="QDK23:QDQ23"/>
    <mergeCell ref="QDR23:QDX23"/>
    <mergeCell ref="QDY23:QEE23"/>
    <mergeCell ref="QBN23:QBT23"/>
    <mergeCell ref="QBU23:QCA23"/>
    <mergeCell ref="QCB23:QCH23"/>
    <mergeCell ref="QCI23:QCO23"/>
    <mergeCell ref="QCP23:QCV23"/>
    <mergeCell ref="QAE23:QAK23"/>
    <mergeCell ref="QAL23:QAR23"/>
    <mergeCell ref="QAS23:QAY23"/>
    <mergeCell ref="QAZ23:QBF23"/>
    <mergeCell ref="QBG23:QBM23"/>
    <mergeCell ref="PYV23:PZB23"/>
    <mergeCell ref="PZC23:PZI23"/>
    <mergeCell ref="PZJ23:PZP23"/>
    <mergeCell ref="PZQ23:PZW23"/>
    <mergeCell ref="PZX23:QAD23"/>
    <mergeCell ref="PXM23:PXS23"/>
    <mergeCell ref="PXT23:PXZ23"/>
    <mergeCell ref="PYA23:PYG23"/>
    <mergeCell ref="PYH23:PYN23"/>
    <mergeCell ref="PYO23:PYU23"/>
    <mergeCell ref="PWD23:PWJ23"/>
    <mergeCell ref="PWK23:PWQ23"/>
    <mergeCell ref="PWR23:PWX23"/>
    <mergeCell ref="PWY23:PXE23"/>
    <mergeCell ref="PXF23:PXL23"/>
    <mergeCell ref="PUU23:PVA23"/>
    <mergeCell ref="PVB23:PVH23"/>
    <mergeCell ref="PVI23:PVO23"/>
    <mergeCell ref="PVP23:PVV23"/>
    <mergeCell ref="PVW23:PWC23"/>
    <mergeCell ref="PTL23:PTR23"/>
    <mergeCell ref="PTS23:PTY23"/>
    <mergeCell ref="PTZ23:PUF23"/>
    <mergeCell ref="PUG23:PUM23"/>
    <mergeCell ref="PUN23:PUT23"/>
    <mergeCell ref="PSC23:PSI23"/>
    <mergeCell ref="PSJ23:PSP23"/>
    <mergeCell ref="PSQ23:PSW23"/>
    <mergeCell ref="PSX23:PTD23"/>
    <mergeCell ref="PTE23:PTK23"/>
    <mergeCell ref="PQT23:PQZ23"/>
    <mergeCell ref="PRA23:PRG23"/>
    <mergeCell ref="PRH23:PRN23"/>
    <mergeCell ref="PRO23:PRU23"/>
    <mergeCell ref="PRV23:PSB23"/>
    <mergeCell ref="PPK23:PPQ23"/>
    <mergeCell ref="PPR23:PPX23"/>
    <mergeCell ref="PPY23:PQE23"/>
    <mergeCell ref="PQF23:PQL23"/>
    <mergeCell ref="PQM23:PQS23"/>
    <mergeCell ref="POB23:POH23"/>
    <mergeCell ref="POI23:POO23"/>
    <mergeCell ref="POP23:POV23"/>
    <mergeCell ref="POW23:PPC23"/>
    <mergeCell ref="PPD23:PPJ23"/>
    <mergeCell ref="PMS23:PMY23"/>
    <mergeCell ref="PMZ23:PNF23"/>
    <mergeCell ref="PNG23:PNM23"/>
    <mergeCell ref="PNN23:PNT23"/>
    <mergeCell ref="PNU23:POA23"/>
    <mergeCell ref="PLJ23:PLP23"/>
    <mergeCell ref="PLQ23:PLW23"/>
    <mergeCell ref="PLX23:PMD23"/>
    <mergeCell ref="PME23:PMK23"/>
    <mergeCell ref="PML23:PMR23"/>
    <mergeCell ref="PKA23:PKG23"/>
    <mergeCell ref="PKH23:PKN23"/>
    <mergeCell ref="PKO23:PKU23"/>
    <mergeCell ref="PKV23:PLB23"/>
    <mergeCell ref="PLC23:PLI23"/>
    <mergeCell ref="PIR23:PIX23"/>
    <mergeCell ref="PIY23:PJE23"/>
    <mergeCell ref="PJF23:PJL23"/>
    <mergeCell ref="PJM23:PJS23"/>
    <mergeCell ref="PJT23:PJZ23"/>
    <mergeCell ref="PHI23:PHO23"/>
    <mergeCell ref="PHP23:PHV23"/>
    <mergeCell ref="PHW23:PIC23"/>
    <mergeCell ref="PID23:PIJ23"/>
    <mergeCell ref="PIK23:PIQ23"/>
    <mergeCell ref="PFZ23:PGF23"/>
    <mergeCell ref="PGG23:PGM23"/>
    <mergeCell ref="PGN23:PGT23"/>
    <mergeCell ref="PGU23:PHA23"/>
    <mergeCell ref="PHB23:PHH23"/>
    <mergeCell ref="PEQ23:PEW23"/>
    <mergeCell ref="PEX23:PFD23"/>
    <mergeCell ref="PFE23:PFK23"/>
    <mergeCell ref="PFL23:PFR23"/>
    <mergeCell ref="PFS23:PFY23"/>
    <mergeCell ref="PDH23:PDN23"/>
    <mergeCell ref="PDO23:PDU23"/>
    <mergeCell ref="PDV23:PEB23"/>
    <mergeCell ref="PEC23:PEI23"/>
    <mergeCell ref="PEJ23:PEP23"/>
    <mergeCell ref="PBY23:PCE23"/>
    <mergeCell ref="PCF23:PCL23"/>
    <mergeCell ref="PCM23:PCS23"/>
    <mergeCell ref="PCT23:PCZ23"/>
    <mergeCell ref="PDA23:PDG23"/>
    <mergeCell ref="PAP23:PAV23"/>
    <mergeCell ref="PAW23:PBC23"/>
    <mergeCell ref="PBD23:PBJ23"/>
    <mergeCell ref="PBK23:PBQ23"/>
    <mergeCell ref="PBR23:PBX23"/>
    <mergeCell ref="OZG23:OZM23"/>
    <mergeCell ref="OZN23:OZT23"/>
    <mergeCell ref="OZU23:PAA23"/>
    <mergeCell ref="PAB23:PAH23"/>
    <mergeCell ref="PAI23:PAO23"/>
    <mergeCell ref="OXX23:OYD23"/>
    <mergeCell ref="OYE23:OYK23"/>
    <mergeCell ref="OYL23:OYR23"/>
    <mergeCell ref="OYS23:OYY23"/>
    <mergeCell ref="OYZ23:OZF23"/>
    <mergeCell ref="OWO23:OWU23"/>
    <mergeCell ref="OWV23:OXB23"/>
    <mergeCell ref="OXC23:OXI23"/>
    <mergeCell ref="OXJ23:OXP23"/>
    <mergeCell ref="OXQ23:OXW23"/>
    <mergeCell ref="OVF23:OVL23"/>
    <mergeCell ref="OVM23:OVS23"/>
    <mergeCell ref="OVT23:OVZ23"/>
    <mergeCell ref="OWA23:OWG23"/>
    <mergeCell ref="OWH23:OWN23"/>
    <mergeCell ref="OTW23:OUC23"/>
    <mergeCell ref="OUD23:OUJ23"/>
    <mergeCell ref="OUK23:OUQ23"/>
    <mergeCell ref="OUR23:OUX23"/>
    <mergeCell ref="OUY23:OVE23"/>
    <mergeCell ref="OSN23:OST23"/>
    <mergeCell ref="OSU23:OTA23"/>
    <mergeCell ref="OTB23:OTH23"/>
    <mergeCell ref="OTI23:OTO23"/>
    <mergeCell ref="OTP23:OTV23"/>
    <mergeCell ref="ORE23:ORK23"/>
    <mergeCell ref="ORL23:ORR23"/>
    <mergeCell ref="ORS23:ORY23"/>
    <mergeCell ref="ORZ23:OSF23"/>
    <mergeCell ref="OSG23:OSM23"/>
    <mergeCell ref="OPV23:OQB23"/>
    <mergeCell ref="OQC23:OQI23"/>
    <mergeCell ref="OQJ23:OQP23"/>
    <mergeCell ref="OQQ23:OQW23"/>
    <mergeCell ref="OQX23:ORD23"/>
    <mergeCell ref="OOM23:OOS23"/>
    <mergeCell ref="OOT23:OOZ23"/>
    <mergeCell ref="OPA23:OPG23"/>
    <mergeCell ref="OPH23:OPN23"/>
    <mergeCell ref="OPO23:OPU23"/>
    <mergeCell ref="OND23:ONJ23"/>
    <mergeCell ref="ONK23:ONQ23"/>
    <mergeCell ref="ONR23:ONX23"/>
    <mergeCell ref="ONY23:OOE23"/>
    <mergeCell ref="OOF23:OOL23"/>
    <mergeCell ref="OLU23:OMA23"/>
    <mergeCell ref="OMB23:OMH23"/>
    <mergeCell ref="OMI23:OMO23"/>
    <mergeCell ref="OMP23:OMV23"/>
    <mergeCell ref="OMW23:ONC23"/>
    <mergeCell ref="OKL23:OKR23"/>
    <mergeCell ref="OKS23:OKY23"/>
    <mergeCell ref="OKZ23:OLF23"/>
    <mergeCell ref="OLG23:OLM23"/>
    <mergeCell ref="OLN23:OLT23"/>
    <mergeCell ref="OJC23:OJI23"/>
    <mergeCell ref="OJJ23:OJP23"/>
    <mergeCell ref="OJQ23:OJW23"/>
    <mergeCell ref="OJX23:OKD23"/>
    <mergeCell ref="OKE23:OKK23"/>
    <mergeCell ref="OHT23:OHZ23"/>
    <mergeCell ref="OIA23:OIG23"/>
    <mergeCell ref="OIH23:OIN23"/>
    <mergeCell ref="OIO23:OIU23"/>
    <mergeCell ref="OIV23:OJB23"/>
    <mergeCell ref="OGK23:OGQ23"/>
    <mergeCell ref="OGR23:OGX23"/>
    <mergeCell ref="OGY23:OHE23"/>
    <mergeCell ref="OHF23:OHL23"/>
    <mergeCell ref="OHM23:OHS23"/>
    <mergeCell ref="OFB23:OFH23"/>
    <mergeCell ref="OFI23:OFO23"/>
    <mergeCell ref="OFP23:OFV23"/>
    <mergeCell ref="OFW23:OGC23"/>
    <mergeCell ref="OGD23:OGJ23"/>
    <mergeCell ref="ODS23:ODY23"/>
    <mergeCell ref="ODZ23:OEF23"/>
    <mergeCell ref="OEG23:OEM23"/>
    <mergeCell ref="OEN23:OET23"/>
    <mergeCell ref="OEU23:OFA23"/>
    <mergeCell ref="OCJ23:OCP23"/>
    <mergeCell ref="OCQ23:OCW23"/>
    <mergeCell ref="OCX23:ODD23"/>
    <mergeCell ref="ODE23:ODK23"/>
    <mergeCell ref="ODL23:ODR23"/>
    <mergeCell ref="OBA23:OBG23"/>
    <mergeCell ref="OBH23:OBN23"/>
    <mergeCell ref="OBO23:OBU23"/>
    <mergeCell ref="OBV23:OCB23"/>
    <mergeCell ref="OCC23:OCI23"/>
    <mergeCell ref="NZR23:NZX23"/>
    <mergeCell ref="NZY23:OAE23"/>
    <mergeCell ref="OAF23:OAL23"/>
    <mergeCell ref="OAM23:OAS23"/>
    <mergeCell ref="OAT23:OAZ23"/>
    <mergeCell ref="NYI23:NYO23"/>
    <mergeCell ref="NYP23:NYV23"/>
    <mergeCell ref="NYW23:NZC23"/>
    <mergeCell ref="NZD23:NZJ23"/>
    <mergeCell ref="NZK23:NZQ23"/>
    <mergeCell ref="NWZ23:NXF23"/>
    <mergeCell ref="NXG23:NXM23"/>
    <mergeCell ref="NXN23:NXT23"/>
    <mergeCell ref="NXU23:NYA23"/>
    <mergeCell ref="NYB23:NYH23"/>
    <mergeCell ref="NVQ23:NVW23"/>
    <mergeCell ref="NVX23:NWD23"/>
    <mergeCell ref="NWE23:NWK23"/>
    <mergeCell ref="NWL23:NWR23"/>
    <mergeCell ref="NWS23:NWY23"/>
    <mergeCell ref="NUH23:NUN23"/>
    <mergeCell ref="NUO23:NUU23"/>
    <mergeCell ref="NUV23:NVB23"/>
    <mergeCell ref="NVC23:NVI23"/>
    <mergeCell ref="NVJ23:NVP23"/>
    <mergeCell ref="NSY23:NTE23"/>
    <mergeCell ref="NTF23:NTL23"/>
    <mergeCell ref="NTM23:NTS23"/>
    <mergeCell ref="NTT23:NTZ23"/>
    <mergeCell ref="NUA23:NUG23"/>
    <mergeCell ref="NRP23:NRV23"/>
    <mergeCell ref="NRW23:NSC23"/>
    <mergeCell ref="NSD23:NSJ23"/>
    <mergeCell ref="NSK23:NSQ23"/>
    <mergeCell ref="NSR23:NSX23"/>
    <mergeCell ref="NQG23:NQM23"/>
    <mergeCell ref="NQN23:NQT23"/>
    <mergeCell ref="NQU23:NRA23"/>
    <mergeCell ref="NRB23:NRH23"/>
    <mergeCell ref="NRI23:NRO23"/>
    <mergeCell ref="NOX23:NPD23"/>
    <mergeCell ref="NPE23:NPK23"/>
    <mergeCell ref="NPL23:NPR23"/>
    <mergeCell ref="NPS23:NPY23"/>
    <mergeCell ref="NPZ23:NQF23"/>
    <mergeCell ref="NNO23:NNU23"/>
    <mergeCell ref="NNV23:NOB23"/>
    <mergeCell ref="NOC23:NOI23"/>
    <mergeCell ref="NOJ23:NOP23"/>
    <mergeCell ref="NOQ23:NOW23"/>
    <mergeCell ref="NMF23:NML23"/>
    <mergeCell ref="NMM23:NMS23"/>
    <mergeCell ref="NMT23:NMZ23"/>
    <mergeCell ref="NNA23:NNG23"/>
    <mergeCell ref="NNH23:NNN23"/>
    <mergeCell ref="NKW23:NLC23"/>
    <mergeCell ref="NLD23:NLJ23"/>
    <mergeCell ref="NLK23:NLQ23"/>
    <mergeCell ref="NLR23:NLX23"/>
    <mergeCell ref="NLY23:NME23"/>
    <mergeCell ref="NJN23:NJT23"/>
    <mergeCell ref="NJU23:NKA23"/>
    <mergeCell ref="NKB23:NKH23"/>
    <mergeCell ref="NKI23:NKO23"/>
    <mergeCell ref="NKP23:NKV23"/>
    <mergeCell ref="NIE23:NIK23"/>
    <mergeCell ref="NIL23:NIR23"/>
    <mergeCell ref="NIS23:NIY23"/>
    <mergeCell ref="NIZ23:NJF23"/>
    <mergeCell ref="NJG23:NJM23"/>
    <mergeCell ref="NGV23:NHB23"/>
    <mergeCell ref="NHC23:NHI23"/>
    <mergeCell ref="NHJ23:NHP23"/>
    <mergeCell ref="NHQ23:NHW23"/>
    <mergeCell ref="NHX23:NID23"/>
    <mergeCell ref="NFM23:NFS23"/>
    <mergeCell ref="NFT23:NFZ23"/>
    <mergeCell ref="NGA23:NGG23"/>
    <mergeCell ref="NGH23:NGN23"/>
    <mergeCell ref="NGO23:NGU23"/>
    <mergeCell ref="NED23:NEJ23"/>
    <mergeCell ref="NEK23:NEQ23"/>
    <mergeCell ref="NER23:NEX23"/>
    <mergeCell ref="NEY23:NFE23"/>
    <mergeCell ref="NFF23:NFL23"/>
    <mergeCell ref="NCU23:NDA23"/>
    <mergeCell ref="NDB23:NDH23"/>
    <mergeCell ref="NDI23:NDO23"/>
    <mergeCell ref="NDP23:NDV23"/>
    <mergeCell ref="NDW23:NEC23"/>
    <mergeCell ref="NBL23:NBR23"/>
    <mergeCell ref="NBS23:NBY23"/>
    <mergeCell ref="NBZ23:NCF23"/>
    <mergeCell ref="NCG23:NCM23"/>
    <mergeCell ref="NCN23:NCT23"/>
    <mergeCell ref="NAC23:NAI23"/>
    <mergeCell ref="NAJ23:NAP23"/>
    <mergeCell ref="NAQ23:NAW23"/>
    <mergeCell ref="NAX23:NBD23"/>
    <mergeCell ref="NBE23:NBK23"/>
    <mergeCell ref="MYT23:MYZ23"/>
    <mergeCell ref="MZA23:MZG23"/>
    <mergeCell ref="MZH23:MZN23"/>
    <mergeCell ref="MZO23:MZU23"/>
    <mergeCell ref="MZV23:NAB23"/>
    <mergeCell ref="MXK23:MXQ23"/>
    <mergeCell ref="MXR23:MXX23"/>
    <mergeCell ref="MXY23:MYE23"/>
    <mergeCell ref="MYF23:MYL23"/>
    <mergeCell ref="MYM23:MYS23"/>
    <mergeCell ref="MWB23:MWH23"/>
    <mergeCell ref="MWI23:MWO23"/>
    <mergeCell ref="MWP23:MWV23"/>
    <mergeCell ref="MWW23:MXC23"/>
    <mergeCell ref="MXD23:MXJ23"/>
    <mergeCell ref="MUS23:MUY23"/>
    <mergeCell ref="MUZ23:MVF23"/>
    <mergeCell ref="MVG23:MVM23"/>
    <mergeCell ref="MVN23:MVT23"/>
    <mergeCell ref="MVU23:MWA23"/>
    <mergeCell ref="MTJ23:MTP23"/>
    <mergeCell ref="MTQ23:MTW23"/>
    <mergeCell ref="MTX23:MUD23"/>
    <mergeCell ref="MUE23:MUK23"/>
    <mergeCell ref="MUL23:MUR23"/>
    <mergeCell ref="MSA23:MSG23"/>
    <mergeCell ref="MSH23:MSN23"/>
    <mergeCell ref="MSO23:MSU23"/>
    <mergeCell ref="MSV23:MTB23"/>
    <mergeCell ref="MTC23:MTI23"/>
    <mergeCell ref="MQR23:MQX23"/>
    <mergeCell ref="MQY23:MRE23"/>
    <mergeCell ref="MRF23:MRL23"/>
    <mergeCell ref="MRM23:MRS23"/>
    <mergeCell ref="MRT23:MRZ23"/>
    <mergeCell ref="MPI23:MPO23"/>
    <mergeCell ref="MPP23:MPV23"/>
    <mergeCell ref="MPW23:MQC23"/>
    <mergeCell ref="MQD23:MQJ23"/>
    <mergeCell ref="MQK23:MQQ23"/>
    <mergeCell ref="MNZ23:MOF23"/>
    <mergeCell ref="MOG23:MOM23"/>
    <mergeCell ref="MON23:MOT23"/>
    <mergeCell ref="MOU23:MPA23"/>
    <mergeCell ref="MPB23:MPH23"/>
    <mergeCell ref="MMQ23:MMW23"/>
    <mergeCell ref="MMX23:MND23"/>
    <mergeCell ref="MNE23:MNK23"/>
    <mergeCell ref="MNL23:MNR23"/>
    <mergeCell ref="MNS23:MNY23"/>
    <mergeCell ref="MLH23:MLN23"/>
    <mergeCell ref="MLO23:MLU23"/>
    <mergeCell ref="MLV23:MMB23"/>
    <mergeCell ref="MMC23:MMI23"/>
    <mergeCell ref="MMJ23:MMP23"/>
    <mergeCell ref="MJY23:MKE23"/>
    <mergeCell ref="MKF23:MKL23"/>
    <mergeCell ref="MKM23:MKS23"/>
    <mergeCell ref="MKT23:MKZ23"/>
    <mergeCell ref="MLA23:MLG23"/>
    <mergeCell ref="MIP23:MIV23"/>
    <mergeCell ref="MIW23:MJC23"/>
    <mergeCell ref="MJD23:MJJ23"/>
    <mergeCell ref="MJK23:MJQ23"/>
    <mergeCell ref="MJR23:MJX23"/>
    <mergeCell ref="MHG23:MHM23"/>
    <mergeCell ref="MHN23:MHT23"/>
    <mergeCell ref="MHU23:MIA23"/>
    <mergeCell ref="MIB23:MIH23"/>
    <mergeCell ref="MII23:MIO23"/>
    <mergeCell ref="MFX23:MGD23"/>
    <mergeCell ref="MGE23:MGK23"/>
    <mergeCell ref="MGL23:MGR23"/>
    <mergeCell ref="MGS23:MGY23"/>
    <mergeCell ref="MGZ23:MHF23"/>
    <mergeCell ref="MEO23:MEU23"/>
    <mergeCell ref="MEV23:MFB23"/>
    <mergeCell ref="MFC23:MFI23"/>
    <mergeCell ref="MFJ23:MFP23"/>
    <mergeCell ref="MFQ23:MFW23"/>
    <mergeCell ref="MDF23:MDL23"/>
    <mergeCell ref="MDM23:MDS23"/>
    <mergeCell ref="MDT23:MDZ23"/>
    <mergeCell ref="MEA23:MEG23"/>
    <mergeCell ref="MEH23:MEN23"/>
    <mergeCell ref="MBW23:MCC23"/>
    <mergeCell ref="MCD23:MCJ23"/>
    <mergeCell ref="MCK23:MCQ23"/>
    <mergeCell ref="MCR23:MCX23"/>
    <mergeCell ref="MCY23:MDE23"/>
    <mergeCell ref="MAN23:MAT23"/>
    <mergeCell ref="MAU23:MBA23"/>
    <mergeCell ref="MBB23:MBH23"/>
    <mergeCell ref="MBI23:MBO23"/>
    <mergeCell ref="MBP23:MBV23"/>
    <mergeCell ref="LZE23:LZK23"/>
    <mergeCell ref="LZL23:LZR23"/>
    <mergeCell ref="LZS23:LZY23"/>
    <mergeCell ref="LZZ23:MAF23"/>
    <mergeCell ref="MAG23:MAM23"/>
    <mergeCell ref="LXV23:LYB23"/>
    <mergeCell ref="LYC23:LYI23"/>
    <mergeCell ref="LYJ23:LYP23"/>
    <mergeCell ref="LYQ23:LYW23"/>
    <mergeCell ref="LYX23:LZD23"/>
    <mergeCell ref="LWM23:LWS23"/>
    <mergeCell ref="LWT23:LWZ23"/>
    <mergeCell ref="LXA23:LXG23"/>
    <mergeCell ref="LXH23:LXN23"/>
    <mergeCell ref="LXO23:LXU23"/>
    <mergeCell ref="LVD23:LVJ23"/>
    <mergeCell ref="LVK23:LVQ23"/>
    <mergeCell ref="LVR23:LVX23"/>
    <mergeCell ref="LVY23:LWE23"/>
    <mergeCell ref="LWF23:LWL23"/>
    <mergeCell ref="LTU23:LUA23"/>
    <mergeCell ref="LUB23:LUH23"/>
    <mergeCell ref="LUI23:LUO23"/>
    <mergeCell ref="LUP23:LUV23"/>
    <mergeCell ref="LUW23:LVC23"/>
    <mergeCell ref="LSL23:LSR23"/>
    <mergeCell ref="LSS23:LSY23"/>
    <mergeCell ref="LSZ23:LTF23"/>
    <mergeCell ref="LTG23:LTM23"/>
    <mergeCell ref="LTN23:LTT23"/>
    <mergeCell ref="LRC23:LRI23"/>
    <mergeCell ref="LRJ23:LRP23"/>
    <mergeCell ref="LRQ23:LRW23"/>
    <mergeCell ref="LRX23:LSD23"/>
    <mergeCell ref="LSE23:LSK23"/>
    <mergeCell ref="LPT23:LPZ23"/>
    <mergeCell ref="LQA23:LQG23"/>
    <mergeCell ref="LQH23:LQN23"/>
    <mergeCell ref="LQO23:LQU23"/>
    <mergeCell ref="LQV23:LRB23"/>
    <mergeCell ref="LOK23:LOQ23"/>
    <mergeCell ref="LOR23:LOX23"/>
    <mergeCell ref="LOY23:LPE23"/>
    <mergeCell ref="LPF23:LPL23"/>
    <mergeCell ref="LPM23:LPS23"/>
    <mergeCell ref="LNB23:LNH23"/>
    <mergeCell ref="LNI23:LNO23"/>
    <mergeCell ref="LNP23:LNV23"/>
    <mergeCell ref="LNW23:LOC23"/>
    <mergeCell ref="LOD23:LOJ23"/>
    <mergeCell ref="LLS23:LLY23"/>
    <mergeCell ref="LLZ23:LMF23"/>
    <mergeCell ref="LMG23:LMM23"/>
    <mergeCell ref="LMN23:LMT23"/>
    <mergeCell ref="LMU23:LNA23"/>
    <mergeCell ref="LKJ23:LKP23"/>
    <mergeCell ref="LKQ23:LKW23"/>
    <mergeCell ref="LKX23:LLD23"/>
    <mergeCell ref="LLE23:LLK23"/>
    <mergeCell ref="LLL23:LLR23"/>
    <mergeCell ref="LJA23:LJG23"/>
    <mergeCell ref="LJH23:LJN23"/>
    <mergeCell ref="LJO23:LJU23"/>
    <mergeCell ref="LJV23:LKB23"/>
    <mergeCell ref="LKC23:LKI23"/>
    <mergeCell ref="LHR23:LHX23"/>
    <mergeCell ref="LHY23:LIE23"/>
    <mergeCell ref="LIF23:LIL23"/>
    <mergeCell ref="LIM23:LIS23"/>
    <mergeCell ref="LIT23:LIZ23"/>
    <mergeCell ref="LGI23:LGO23"/>
    <mergeCell ref="LGP23:LGV23"/>
    <mergeCell ref="LGW23:LHC23"/>
    <mergeCell ref="LHD23:LHJ23"/>
    <mergeCell ref="LHK23:LHQ23"/>
    <mergeCell ref="LEZ23:LFF23"/>
    <mergeCell ref="LFG23:LFM23"/>
    <mergeCell ref="LFN23:LFT23"/>
    <mergeCell ref="LFU23:LGA23"/>
    <mergeCell ref="LGB23:LGH23"/>
    <mergeCell ref="LDQ23:LDW23"/>
    <mergeCell ref="LDX23:LED23"/>
    <mergeCell ref="LEE23:LEK23"/>
    <mergeCell ref="LEL23:LER23"/>
    <mergeCell ref="LES23:LEY23"/>
    <mergeCell ref="LCH23:LCN23"/>
    <mergeCell ref="LCO23:LCU23"/>
    <mergeCell ref="LCV23:LDB23"/>
    <mergeCell ref="LDC23:LDI23"/>
    <mergeCell ref="LDJ23:LDP23"/>
    <mergeCell ref="LAY23:LBE23"/>
    <mergeCell ref="LBF23:LBL23"/>
    <mergeCell ref="LBM23:LBS23"/>
    <mergeCell ref="LBT23:LBZ23"/>
    <mergeCell ref="LCA23:LCG23"/>
    <mergeCell ref="KZP23:KZV23"/>
    <mergeCell ref="KZW23:LAC23"/>
    <mergeCell ref="LAD23:LAJ23"/>
    <mergeCell ref="LAK23:LAQ23"/>
    <mergeCell ref="LAR23:LAX23"/>
    <mergeCell ref="KYG23:KYM23"/>
    <mergeCell ref="KYN23:KYT23"/>
    <mergeCell ref="KYU23:KZA23"/>
    <mergeCell ref="KZB23:KZH23"/>
    <mergeCell ref="KZI23:KZO23"/>
    <mergeCell ref="KWX23:KXD23"/>
    <mergeCell ref="KXE23:KXK23"/>
    <mergeCell ref="KXL23:KXR23"/>
    <mergeCell ref="KXS23:KXY23"/>
    <mergeCell ref="KXZ23:KYF23"/>
    <mergeCell ref="KVO23:KVU23"/>
    <mergeCell ref="KVV23:KWB23"/>
    <mergeCell ref="KWC23:KWI23"/>
    <mergeCell ref="KWJ23:KWP23"/>
    <mergeCell ref="KWQ23:KWW23"/>
    <mergeCell ref="KUF23:KUL23"/>
    <mergeCell ref="KUM23:KUS23"/>
    <mergeCell ref="KUT23:KUZ23"/>
    <mergeCell ref="KVA23:KVG23"/>
    <mergeCell ref="KVH23:KVN23"/>
    <mergeCell ref="KSW23:KTC23"/>
    <mergeCell ref="KTD23:KTJ23"/>
    <mergeCell ref="KTK23:KTQ23"/>
    <mergeCell ref="KTR23:KTX23"/>
    <mergeCell ref="KTY23:KUE23"/>
    <mergeCell ref="KRN23:KRT23"/>
    <mergeCell ref="KRU23:KSA23"/>
    <mergeCell ref="KSB23:KSH23"/>
    <mergeCell ref="KSI23:KSO23"/>
    <mergeCell ref="KSP23:KSV23"/>
    <mergeCell ref="KQE23:KQK23"/>
    <mergeCell ref="KQL23:KQR23"/>
    <mergeCell ref="KQS23:KQY23"/>
    <mergeCell ref="KQZ23:KRF23"/>
    <mergeCell ref="KRG23:KRM23"/>
    <mergeCell ref="KOV23:KPB23"/>
    <mergeCell ref="KPC23:KPI23"/>
    <mergeCell ref="KPJ23:KPP23"/>
    <mergeCell ref="KPQ23:KPW23"/>
    <mergeCell ref="KPX23:KQD23"/>
    <mergeCell ref="KNM23:KNS23"/>
    <mergeCell ref="KNT23:KNZ23"/>
    <mergeCell ref="KOA23:KOG23"/>
    <mergeCell ref="KOH23:KON23"/>
    <mergeCell ref="KOO23:KOU23"/>
    <mergeCell ref="KMD23:KMJ23"/>
    <mergeCell ref="KMK23:KMQ23"/>
    <mergeCell ref="KMR23:KMX23"/>
    <mergeCell ref="KMY23:KNE23"/>
    <mergeCell ref="KNF23:KNL23"/>
    <mergeCell ref="KKU23:KLA23"/>
    <mergeCell ref="KLB23:KLH23"/>
    <mergeCell ref="KLI23:KLO23"/>
    <mergeCell ref="KLP23:KLV23"/>
    <mergeCell ref="KLW23:KMC23"/>
    <mergeCell ref="KJL23:KJR23"/>
    <mergeCell ref="KJS23:KJY23"/>
    <mergeCell ref="KJZ23:KKF23"/>
    <mergeCell ref="KKG23:KKM23"/>
    <mergeCell ref="KKN23:KKT23"/>
    <mergeCell ref="KIC23:KII23"/>
    <mergeCell ref="KIJ23:KIP23"/>
    <mergeCell ref="KIQ23:KIW23"/>
    <mergeCell ref="KIX23:KJD23"/>
    <mergeCell ref="KJE23:KJK23"/>
    <mergeCell ref="KGT23:KGZ23"/>
    <mergeCell ref="KHA23:KHG23"/>
    <mergeCell ref="KHH23:KHN23"/>
    <mergeCell ref="KHO23:KHU23"/>
    <mergeCell ref="KHV23:KIB23"/>
    <mergeCell ref="KFK23:KFQ23"/>
    <mergeCell ref="KFR23:KFX23"/>
    <mergeCell ref="KFY23:KGE23"/>
    <mergeCell ref="KGF23:KGL23"/>
    <mergeCell ref="KGM23:KGS23"/>
    <mergeCell ref="KEB23:KEH23"/>
    <mergeCell ref="KEI23:KEO23"/>
    <mergeCell ref="KEP23:KEV23"/>
    <mergeCell ref="KEW23:KFC23"/>
    <mergeCell ref="KFD23:KFJ23"/>
    <mergeCell ref="KCS23:KCY23"/>
    <mergeCell ref="KCZ23:KDF23"/>
    <mergeCell ref="KDG23:KDM23"/>
    <mergeCell ref="KDN23:KDT23"/>
    <mergeCell ref="KDU23:KEA23"/>
    <mergeCell ref="KBJ23:KBP23"/>
    <mergeCell ref="KBQ23:KBW23"/>
    <mergeCell ref="KBX23:KCD23"/>
    <mergeCell ref="KCE23:KCK23"/>
    <mergeCell ref="KCL23:KCR23"/>
    <mergeCell ref="KAA23:KAG23"/>
    <mergeCell ref="KAH23:KAN23"/>
    <mergeCell ref="KAO23:KAU23"/>
    <mergeCell ref="KAV23:KBB23"/>
    <mergeCell ref="KBC23:KBI23"/>
    <mergeCell ref="JYR23:JYX23"/>
    <mergeCell ref="JYY23:JZE23"/>
    <mergeCell ref="JZF23:JZL23"/>
    <mergeCell ref="JZM23:JZS23"/>
    <mergeCell ref="JZT23:JZZ23"/>
    <mergeCell ref="JXI23:JXO23"/>
    <mergeCell ref="JXP23:JXV23"/>
    <mergeCell ref="JXW23:JYC23"/>
    <mergeCell ref="JYD23:JYJ23"/>
    <mergeCell ref="JYK23:JYQ23"/>
    <mergeCell ref="JVZ23:JWF23"/>
    <mergeCell ref="JWG23:JWM23"/>
    <mergeCell ref="JWN23:JWT23"/>
    <mergeCell ref="JWU23:JXA23"/>
    <mergeCell ref="JXB23:JXH23"/>
    <mergeCell ref="JUQ23:JUW23"/>
    <mergeCell ref="JUX23:JVD23"/>
    <mergeCell ref="JVE23:JVK23"/>
    <mergeCell ref="JVL23:JVR23"/>
    <mergeCell ref="JVS23:JVY23"/>
    <mergeCell ref="JTH23:JTN23"/>
    <mergeCell ref="JTO23:JTU23"/>
    <mergeCell ref="JTV23:JUB23"/>
    <mergeCell ref="JUC23:JUI23"/>
    <mergeCell ref="JUJ23:JUP23"/>
    <mergeCell ref="JRY23:JSE23"/>
    <mergeCell ref="JSF23:JSL23"/>
    <mergeCell ref="JSM23:JSS23"/>
    <mergeCell ref="JST23:JSZ23"/>
    <mergeCell ref="JTA23:JTG23"/>
    <mergeCell ref="JQP23:JQV23"/>
    <mergeCell ref="JQW23:JRC23"/>
    <mergeCell ref="JRD23:JRJ23"/>
    <mergeCell ref="JRK23:JRQ23"/>
    <mergeCell ref="JRR23:JRX23"/>
    <mergeCell ref="JPG23:JPM23"/>
    <mergeCell ref="JPN23:JPT23"/>
    <mergeCell ref="JPU23:JQA23"/>
    <mergeCell ref="JQB23:JQH23"/>
    <mergeCell ref="JQI23:JQO23"/>
    <mergeCell ref="JNX23:JOD23"/>
    <mergeCell ref="JOE23:JOK23"/>
    <mergeCell ref="JOL23:JOR23"/>
    <mergeCell ref="JOS23:JOY23"/>
    <mergeCell ref="JOZ23:JPF23"/>
    <mergeCell ref="JMO23:JMU23"/>
    <mergeCell ref="JMV23:JNB23"/>
    <mergeCell ref="JNC23:JNI23"/>
    <mergeCell ref="JNJ23:JNP23"/>
    <mergeCell ref="JNQ23:JNW23"/>
    <mergeCell ref="JLF23:JLL23"/>
    <mergeCell ref="JLM23:JLS23"/>
    <mergeCell ref="JLT23:JLZ23"/>
    <mergeCell ref="JMA23:JMG23"/>
    <mergeCell ref="JMH23:JMN23"/>
    <mergeCell ref="JJW23:JKC23"/>
    <mergeCell ref="JKD23:JKJ23"/>
    <mergeCell ref="JKK23:JKQ23"/>
    <mergeCell ref="JKR23:JKX23"/>
    <mergeCell ref="JKY23:JLE23"/>
    <mergeCell ref="JIN23:JIT23"/>
    <mergeCell ref="JIU23:JJA23"/>
    <mergeCell ref="JJB23:JJH23"/>
    <mergeCell ref="JJI23:JJO23"/>
    <mergeCell ref="JJP23:JJV23"/>
    <mergeCell ref="JHE23:JHK23"/>
    <mergeCell ref="JHL23:JHR23"/>
    <mergeCell ref="JHS23:JHY23"/>
    <mergeCell ref="JHZ23:JIF23"/>
    <mergeCell ref="JIG23:JIM23"/>
    <mergeCell ref="JFV23:JGB23"/>
    <mergeCell ref="JGC23:JGI23"/>
    <mergeCell ref="JGJ23:JGP23"/>
    <mergeCell ref="JGQ23:JGW23"/>
    <mergeCell ref="JGX23:JHD23"/>
    <mergeCell ref="JEM23:JES23"/>
    <mergeCell ref="JET23:JEZ23"/>
    <mergeCell ref="JFA23:JFG23"/>
    <mergeCell ref="JFH23:JFN23"/>
    <mergeCell ref="JFO23:JFU23"/>
    <mergeCell ref="JDD23:JDJ23"/>
    <mergeCell ref="JDK23:JDQ23"/>
    <mergeCell ref="JDR23:JDX23"/>
    <mergeCell ref="JDY23:JEE23"/>
    <mergeCell ref="JEF23:JEL23"/>
    <mergeCell ref="JBU23:JCA23"/>
    <mergeCell ref="JCB23:JCH23"/>
    <mergeCell ref="JCI23:JCO23"/>
    <mergeCell ref="JCP23:JCV23"/>
    <mergeCell ref="JCW23:JDC23"/>
    <mergeCell ref="JAL23:JAR23"/>
    <mergeCell ref="JAS23:JAY23"/>
    <mergeCell ref="JAZ23:JBF23"/>
    <mergeCell ref="JBG23:JBM23"/>
    <mergeCell ref="JBN23:JBT23"/>
    <mergeCell ref="IZC23:IZI23"/>
    <mergeCell ref="IZJ23:IZP23"/>
    <mergeCell ref="IZQ23:IZW23"/>
    <mergeCell ref="IZX23:JAD23"/>
    <mergeCell ref="JAE23:JAK23"/>
    <mergeCell ref="IXT23:IXZ23"/>
    <mergeCell ref="IYA23:IYG23"/>
    <mergeCell ref="IYH23:IYN23"/>
    <mergeCell ref="IYO23:IYU23"/>
    <mergeCell ref="IYV23:IZB23"/>
    <mergeCell ref="IWK23:IWQ23"/>
    <mergeCell ref="IWR23:IWX23"/>
    <mergeCell ref="IWY23:IXE23"/>
    <mergeCell ref="IXF23:IXL23"/>
    <mergeCell ref="IXM23:IXS23"/>
    <mergeCell ref="IVB23:IVH23"/>
    <mergeCell ref="IVI23:IVO23"/>
    <mergeCell ref="IVP23:IVV23"/>
    <mergeCell ref="IVW23:IWC23"/>
    <mergeCell ref="IWD23:IWJ23"/>
    <mergeCell ref="ITS23:ITY23"/>
    <mergeCell ref="ITZ23:IUF23"/>
    <mergeCell ref="IUG23:IUM23"/>
    <mergeCell ref="IUN23:IUT23"/>
    <mergeCell ref="IUU23:IVA23"/>
    <mergeCell ref="ISJ23:ISP23"/>
    <mergeCell ref="ISQ23:ISW23"/>
    <mergeCell ref="ISX23:ITD23"/>
    <mergeCell ref="ITE23:ITK23"/>
    <mergeCell ref="ITL23:ITR23"/>
    <mergeCell ref="IRA23:IRG23"/>
    <mergeCell ref="IRH23:IRN23"/>
    <mergeCell ref="IRO23:IRU23"/>
    <mergeCell ref="IRV23:ISB23"/>
    <mergeCell ref="ISC23:ISI23"/>
    <mergeCell ref="IPR23:IPX23"/>
    <mergeCell ref="IPY23:IQE23"/>
    <mergeCell ref="IQF23:IQL23"/>
    <mergeCell ref="IQM23:IQS23"/>
    <mergeCell ref="IQT23:IQZ23"/>
    <mergeCell ref="IOI23:IOO23"/>
    <mergeCell ref="IOP23:IOV23"/>
    <mergeCell ref="IOW23:IPC23"/>
    <mergeCell ref="IPD23:IPJ23"/>
    <mergeCell ref="IPK23:IPQ23"/>
    <mergeCell ref="IMZ23:INF23"/>
    <mergeCell ref="ING23:INM23"/>
    <mergeCell ref="INN23:INT23"/>
    <mergeCell ref="INU23:IOA23"/>
    <mergeCell ref="IOB23:IOH23"/>
    <mergeCell ref="ILQ23:ILW23"/>
    <mergeCell ref="ILX23:IMD23"/>
    <mergeCell ref="IME23:IMK23"/>
    <mergeCell ref="IML23:IMR23"/>
    <mergeCell ref="IMS23:IMY23"/>
    <mergeCell ref="IKH23:IKN23"/>
    <mergeCell ref="IKO23:IKU23"/>
    <mergeCell ref="IKV23:ILB23"/>
    <mergeCell ref="ILC23:ILI23"/>
    <mergeCell ref="ILJ23:ILP23"/>
    <mergeCell ref="IIY23:IJE23"/>
    <mergeCell ref="IJF23:IJL23"/>
    <mergeCell ref="IJM23:IJS23"/>
    <mergeCell ref="IJT23:IJZ23"/>
    <mergeCell ref="IKA23:IKG23"/>
    <mergeCell ref="IHP23:IHV23"/>
    <mergeCell ref="IHW23:IIC23"/>
    <mergeCell ref="IID23:IIJ23"/>
    <mergeCell ref="IIK23:IIQ23"/>
    <mergeCell ref="IIR23:IIX23"/>
    <mergeCell ref="IGG23:IGM23"/>
    <mergeCell ref="IGN23:IGT23"/>
    <mergeCell ref="IGU23:IHA23"/>
    <mergeCell ref="IHB23:IHH23"/>
    <mergeCell ref="IHI23:IHO23"/>
    <mergeCell ref="IEX23:IFD23"/>
    <mergeCell ref="IFE23:IFK23"/>
    <mergeCell ref="IFL23:IFR23"/>
    <mergeCell ref="IFS23:IFY23"/>
    <mergeCell ref="IFZ23:IGF23"/>
    <mergeCell ref="IDO23:IDU23"/>
    <mergeCell ref="IDV23:IEB23"/>
    <mergeCell ref="IEC23:IEI23"/>
    <mergeCell ref="IEJ23:IEP23"/>
    <mergeCell ref="IEQ23:IEW23"/>
    <mergeCell ref="ICF23:ICL23"/>
    <mergeCell ref="ICM23:ICS23"/>
    <mergeCell ref="ICT23:ICZ23"/>
    <mergeCell ref="IDA23:IDG23"/>
    <mergeCell ref="IDH23:IDN23"/>
    <mergeCell ref="IAW23:IBC23"/>
    <mergeCell ref="IBD23:IBJ23"/>
    <mergeCell ref="IBK23:IBQ23"/>
    <mergeCell ref="IBR23:IBX23"/>
    <mergeCell ref="IBY23:ICE23"/>
    <mergeCell ref="HZN23:HZT23"/>
    <mergeCell ref="HZU23:IAA23"/>
    <mergeCell ref="IAB23:IAH23"/>
    <mergeCell ref="IAI23:IAO23"/>
    <mergeCell ref="IAP23:IAV23"/>
    <mergeCell ref="HYE23:HYK23"/>
    <mergeCell ref="HYL23:HYR23"/>
    <mergeCell ref="HYS23:HYY23"/>
    <mergeCell ref="HYZ23:HZF23"/>
    <mergeCell ref="HZG23:HZM23"/>
    <mergeCell ref="HWV23:HXB23"/>
    <mergeCell ref="HXC23:HXI23"/>
    <mergeCell ref="HXJ23:HXP23"/>
    <mergeCell ref="HXQ23:HXW23"/>
    <mergeCell ref="HXX23:HYD23"/>
    <mergeCell ref="HVM23:HVS23"/>
    <mergeCell ref="HVT23:HVZ23"/>
    <mergeCell ref="HWA23:HWG23"/>
    <mergeCell ref="HWH23:HWN23"/>
    <mergeCell ref="HWO23:HWU23"/>
    <mergeCell ref="HUD23:HUJ23"/>
    <mergeCell ref="HUK23:HUQ23"/>
    <mergeCell ref="HUR23:HUX23"/>
    <mergeCell ref="HUY23:HVE23"/>
    <mergeCell ref="HVF23:HVL23"/>
    <mergeCell ref="HSU23:HTA23"/>
    <mergeCell ref="HTB23:HTH23"/>
    <mergeCell ref="HTI23:HTO23"/>
    <mergeCell ref="HTP23:HTV23"/>
    <mergeCell ref="HTW23:HUC23"/>
    <mergeCell ref="HRL23:HRR23"/>
    <mergeCell ref="HRS23:HRY23"/>
    <mergeCell ref="HRZ23:HSF23"/>
    <mergeCell ref="HSG23:HSM23"/>
    <mergeCell ref="HSN23:HST23"/>
    <mergeCell ref="HQC23:HQI23"/>
    <mergeCell ref="HQJ23:HQP23"/>
    <mergeCell ref="HQQ23:HQW23"/>
    <mergeCell ref="HQX23:HRD23"/>
    <mergeCell ref="HRE23:HRK23"/>
    <mergeCell ref="HOT23:HOZ23"/>
    <mergeCell ref="HPA23:HPG23"/>
    <mergeCell ref="HPH23:HPN23"/>
    <mergeCell ref="HPO23:HPU23"/>
    <mergeCell ref="HPV23:HQB23"/>
    <mergeCell ref="HNK23:HNQ23"/>
    <mergeCell ref="HNR23:HNX23"/>
    <mergeCell ref="HNY23:HOE23"/>
    <mergeCell ref="HOF23:HOL23"/>
    <mergeCell ref="HOM23:HOS23"/>
    <mergeCell ref="HMB23:HMH23"/>
    <mergeCell ref="HMI23:HMO23"/>
    <mergeCell ref="HMP23:HMV23"/>
    <mergeCell ref="HMW23:HNC23"/>
    <mergeCell ref="HND23:HNJ23"/>
    <mergeCell ref="HKS23:HKY23"/>
    <mergeCell ref="HKZ23:HLF23"/>
    <mergeCell ref="HLG23:HLM23"/>
    <mergeCell ref="HLN23:HLT23"/>
    <mergeCell ref="HLU23:HMA23"/>
    <mergeCell ref="HJJ23:HJP23"/>
    <mergeCell ref="HJQ23:HJW23"/>
    <mergeCell ref="HJX23:HKD23"/>
    <mergeCell ref="HKE23:HKK23"/>
    <mergeCell ref="HKL23:HKR23"/>
    <mergeCell ref="HIA23:HIG23"/>
    <mergeCell ref="HIH23:HIN23"/>
    <mergeCell ref="HIO23:HIU23"/>
    <mergeCell ref="HIV23:HJB23"/>
    <mergeCell ref="HJC23:HJI23"/>
    <mergeCell ref="HGR23:HGX23"/>
    <mergeCell ref="HGY23:HHE23"/>
    <mergeCell ref="HHF23:HHL23"/>
    <mergeCell ref="HHM23:HHS23"/>
    <mergeCell ref="HHT23:HHZ23"/>
    <mergeCell ref="HFI23:HFO23"/>
    <mergeCell ref="HFP23:HFV23"/>
    <mergeCell ref="HFW23:HGC23"/>
    <mergeCell ref="HGD23:HGJ23"/>
    <mergeCell ref="HGK23:HGQ23"/>
    <mergeCell ref="HDZ23:HEF23"/>
    <mergeCell ref="HEG23:HEM23"/>
    <mergeCell ref="HEN23:HET23"/>
    <mergeCell ref="HEU23:HFA23"/>
    <mergeCell ref="HFB23:HFH23"/>
    <mergeCell ref="HCQ23:HCW23"/>
    <mergeCell ref="HCX23:HDD23"/>
    <mergeCell ref="HDE23:HDK23"/>
    <mergeCell ref="HDL23:HDR23"/>
    <mergeCell ref="HDS23:HDY23"/>
    <mergeCell ref="HBH23:HBN23"/>
    <mergeCell ref="HBO23:HBU23"/>
    <mergeCell ref="HBV23:HCB23"/>
    <mergeCell ref="HCC23:HCI23"/>
    <mergeCell ref="HCJ23:HCP23"/>
    <mergeCell ref="GZY23:HAE23"/>
    <mergeCell ref="HAF23:HAL23"/>
    <mergeCell ref="HAM23:HAS23"/>
    <mergeCell ref="HAT23:HAZ23"/>
    <mergeCell ref="HBA23:HBG23"/>
    <mergeCell ref="GYP23:GYV23"/>
    <mergeCell ref="GYW23:GZC23"/>
    <mergeCell ref="GZD23:GZJ23"/>
    <mergeCell ref="GZK23:GZQ23"/>
    <mergeCell ref="GZR23:GZX23"/>
    <mergeCell ref="GXG23:GXM23"/>
    <mergeCell ref="GXN23:GXT23"/>
    <mergeCell ref="GXU23:GYA23"/>
    <mergeCell ref="GYB23:GYH23"/>
    <mergeCell ref="GYI23:GYO23"/>
    <mergeCell ref="GVX23:GWD23"/>
    <mergeCell ref="GWE23:GWK23"/>
    <mergeCell ref="GWL23:GWR23"/>
    <mergeCell ref="GWS23:GWY23"/>
    <mergeCell ref="GWZ23:GXF23"/>
    <mergeCell ref="GUO23:GUU23"/>
    <mergeCell ref="GUV23:GVB23"/>
    <mergeCell ref="GVC23:GVI23"/>
    <mergeCell ref="GVJ23:GVP23"/>
    <mergeCell ref="GVQ23:GVW23"/>
    <mergeCell ref="GTF23:GTL23"/>
    <mergeCell ref="GTM23:GTS23"/>
    <mergeCell ref="GTT23:GTZ23"/>
    <mergeCell ref="GUA23:GUG23"/>
    <mergeCell ref="GUH23:GUN23"/>
    <mergeCell ref="GRW23:GSC23"/>
    <mergeCell ref="GSD23:GSJ23"/>
    <mergeCell ref="GSK23:GSQ23"/>
    <mergeCell ref="GSR23:GSX23"/>
    <mergeCell ref="GSY23:GTE23"/>
    <mergeCell ref="GQN23:GQT23"/>
    <mergeCell ref="GQU23:GRA23"/>
    <mergeCell ref="GRB23:GRH23"/>
    <mergeCell ref="GRI23:GRO23"/>
    <mergeCell ref="GRP23:GRV23"/>
    <mergeCell ref="GPE23:GPK23"/>
    <mergeCell ref="GPL23:GPR23"/>
    <mergeCell ref="GPS23:GPY23"/>
    <mergeCell ref="GPZ23:GQF23"/>
    <mergeCell ref="GQG23:GQM23"/>
    <mergeCell ref="GNV23:GOB23"/>
    <mergeCell ref="GOC23:GOI23"/>
    <mergeCell ref="GOJ23:GOP23"/>
    <mergeCell ref="GOQ23:GOW23"/>
    <mergeCell ref="GOX23:GPD23"/>
    <mergeCell ref="GMM23:GMS23"/>
    <mergeCell ref="GMT23:GMZ23"/>
    <mergeCell ref="GNA23:GNG23"/>
    <mergeCell ref="GNH23:GNN23"/>
    <mergeCell ref="GNO23:GNU23"/>
    <mergeCell ref="GLD23:GLJ23"/>
    <mergeCell ref="GLK23:GLQ23"/>
    <mergeCell ref="GLR23:GLX23"/>
    <mergeCell ref="GLY23:GME23"/>
    <mergeCell ref="GMF23:GML23"/>
    <mergeCell ref="GJU23:GKA23"/>
    <mergeCell ref="GKB23:GKH23"/>
    <mergeCell ref="GKI23:GKO23"/>
    <mergeCell ref="GKP23:GKV23"/>
    <mergeCell ref="GKW23:GLC23"/>
    <mergeCell ref="GIL23:GIR23"/>
    <mergeCell ref="GIS23:GIY23"/>
    <mergeCell ref="GIZ23:GJF23"/>
    <mergeCell ref="GJG23:GJM23"/>
    <mergeCell ref="GJN23:GJT23"/>
    <mergeCell ref="GHC23:GHI23"/>
    <mergeCell ref="GHJ23:GHP23"/>
    <mergeCell ref="GHQ23:GHW23"/>
    <mergeCell ref="GHX23:GID23"/>
    <mergeCell ref="GIE23:GIK23"/>
    <mergeCell ref="GFT23:GFZ23"/>
    <mergeCell ref="GGA23:GGG23"/>
    <mergeCell ref="GGH23:GGN23"/>
    <mergeCell ref="GGO23:GGU23"/>
    <mergeCell ref="GGV23:GHB23"/>
    <mergeCell ref="GEK23:GEQ23"/>
    <mergeCell ref="GER23:GEX23"/>
    <mergeCell ref="GEY23:GFE23"/>
    <mergeCell ref="GFF23:GFL23"/>
    <mergeCell ref="GFM23:GFS23"/>
    <mergeCell ref="GDB23:GDH23"/>
    <mergeCell ref="GDI23:GDO23"/>
    <mergeCell ref="GDP23:GDV23"/>
    <mergeCell ref="GDW23:GEC23"/>
    <mergeCell ref="GED23:GEJ23"/>
    <mergeCell ref="GBS23:GBY23"/>
    <mergeCell ref="GBZ23:GCF23"/>
    <mergeCell ref="GCG23:GCM23"/>
    <mergeCell ref="GCN23:GCT23"/>
    <mergeCell ref="GCU23:GDA23"/>
    <mergeCell ref="GAJ23:GAP23"/>
    <mergeCell ref="GAQ23:GAW23"/>
    <mergeCell ref="GAX23:GBD23"/>
    <mergeCell ref="GBE23:GBK23"/>
    <mergeCell ref="GBL23:GBR23"/>
    <mergeCell ref="FZA23:FZG23"/>
    <mergeCell ref="FZH23:FZN23"/>
    <mergeCell ref="FZO23:FZU23"/>
    <mergeCell ref="FZV23:GAB23"/>
    <mergeCell ref="GAC23:GAI23"/>
    <mergeCell ref="FXR23:FXX23"/>
    <mergeCell ref="FXY23:FYE23"/>
    <mergeCell ref="FYF23:FYL23"/>
    <mergeCell ref="FYM23:FYS23"/>
    <mergeCell ref="FYT23:FYZ23"/>
    <mergeCell ref="FWI23:FWO23"/>
    <mergeCell ref="FWP23:FWV23"/>
    <mergeCell ref="FWW23:FXC23"/>
    <mergeCell ref="FXD23:FXJ23"/>
    <mergeCell ref="FXK23:FXQ23"/>
    <mergeCell ref="FUZ23:FVF23"/>
    <mergeCell ref="FVG23:FVM23"/>
    <mergeCell ref="FVN23:FVT23"/>
    <mergeCell ref="FVU23:FWA23"/>
    <mergeCell ref="FWB23:FWH23"/>
    <mergeCell ref="FTQ23:FTW23"/>
    <mergeCell ref="FTX23:FUD23"/>
    <mergeCell ref="FUE23:FUK23"/>
    <mergeCell ref="FUL23:FUR23"/>
    <mergeCell ref="FUS23:FUY23"/>
    <mergeCell ref="FSH23:FSN23"/>
    <mergeCell ref="FSO23:FSU23"/>
    <mergeCell ref="FSV23:FTB23"/>
    <mergeCell ref="FTC23:FTI23"/>
    <mergeCell ref="FTJ23:FTP23"/>
    <mergeCell ref="FQY23:FRE23"/>
    <mergeCell ref="FRF23:FRL23"/>
    <mergeCell ref="FRM23:FRS23"/>
    <mergeCell ref="FRT23:FRZ23"/>
    <mergeCell ref="FSA23:FSG23"/>
    <mergeCell ref="FPP23:FPV23"/>
    <mergeCell ref="FPW23:FQC23"/>
    <mergeCell ref="FQD23:FQJ23"/>
    <mergeCell ref="FQK23:FQQ23"/>
    <mergeCell ref="FQR23:FQX23"/>
    <mergeCell ref="FOG23:FOM23"/>
    <mergeCell ref="FON23:FOT23"/>
    <mergeCell ref="FOU23:FPA23"/>
    <mergeCell ref="FPB23:FPH23"/>
    <mergeCell ref="FPI23:FPO23"/>
    <mergeCell ref="FMX23:FND23"/>
    <mergeCell ref="FNE23:FNK23"/>
    <mergeCell ref="FNL23:FNR23"/>
    <mergeCell ref="FNS23:FNY23"/>
    <mergeCell ref="FNZ23:FOF23"/>
    <mergeCell ref="FLO23:FLU23"/>
    <mergeCell ref="FLV23:FMB23"/>
    <mergeCell ref="FMC23:FMI23"/>
    <mergeCell ref="FMJ23:FMP23"/>
    <mergeCell ref="FMQ23:FMW23"/>
    <mergeCell ref="FKF23:FKL23"/>
    <mergeCell ref="FKM23:FKS23"/>
    <mergeCell ref="FKT23:FKZ23"/>
    <mergeCell ref="FLA23:FLG23"/>
    <mergeCell ref="FLH23:FLN23"/>
    <mergeCell ref="FIW23:FJC23"/>
    <mergeCell ref="FJD23:FJJ23"/>
    <mergeCell ref="FJK23:FJQ23"/>
    <mergeCell ref="FJR23:FJX23"/>
    <mergeCell ref="FJY23:FKE23"/>
    <mergeCell ref="FHN23:FHT23"/>
    <mergeCell ref="FHU23:FIA23"/>
    <mergeCell ref="FIB23:FIH23"/>
    <mergeCell ref="FII23:FIO23"/>
    <mergeCell ref="FIP23:FIV23"/>
    <mergeCell ref="FGE23:FGK23"/>
    <mergeCell ref="FGL23:FGR23"/>
    <mergeCell ref="FGS23:FGY23"/>
    <mergeCell ref="FGZ23:FHF23"/>
    <mergeCell ref="FHG23:FHM23"/>
    <mergeCell ref="FEV23:FFB23"/>
    <mergeCell ref="FFC23:FFI23"/>
    <mergeCell ref="FFJ23:FFP23"/>
    <mergeCell ref="FFQ23:FFW23"/>
    <mergeCell ref="FFX23:FGD23"/>
    <mergeCell ref="FDM23:FDS23"/>
    <mergeCell ref="FDT23:FDZ23"/>
    <mergeCell ref="FEA23:FEG23"/>
    <mergeCell ref="FEH23:FEN23"/>
    <mergeCell ref="FEO23:FEU23"/>
    <mergeCell ref="FCD23:FCJ23"/>
    <mergeCell ref="FCK23:FCQ23"/>
    <mergeCell ref="FCR23:FCX23"/>
    <mergeCell ref="FCY23:FDE23"/>
    <mergeCell ref="FDF23:FDL23"/>
    <mergeCell ref="FAU23:FBA23"/>
    <mergeCell ref="FBB23:FBH23"/>
    <mergeCell ref="FBI23:FBO23"/>
    <mergeCell ref="FBP23:FBV23"/>
    <mergeCell ref="FBW23:FCC23"/>
    <mergeCell ref="EZL23:EZR23"/>
    <mergeCell ref="EZS23:EZY23"/>
    <mergeCell ref="EZZ23:FAF23"/>
    <mergeCell ref="FAG23:FAM23"/>
    <mergeCell ref="FAN23:FAT23"/>
    <mergeCell ref="EYC23:EYI23"/>
    <mergeCell ref="EYJ23:EYP23"/>
    <mergeCell ref="EYQ23:EYW23"/>
    <mergeCell ref="EYX23:EZD23"/>
    <mergeCell ref="EZE23:EZK23"/>
    <mergeCell ref="EWT23:EWZ23"/>
    <mergeCell ref="EXA23:EXG23"/>
    <mergeCell ref="EXH23:EXN23"/>
    <mergeCell ref="EXO23:EXU23"/>
    <mergeCell ref="EXV23:EYB23"/>
    <mergeCell ref="EVK23:EVQ23"/>
    <mergeCell ref="EVR23:EVX23"/>
    <mergeCell ref="EVY23:EWE23"/>
    <mergeCell ref="EWF23:EWL23"/>
    <mergeCell ref="EWM23:EWS23"/>
    <mergeCell ref="EUB23:EUH23"/>
    <mergeCell ref="EUI23:EUO23"/>
    <mergeCell ref="EUP23:EUV23"/>
    <mergeCell ref="EUW23:EVC23"/>
    <mergeCell ref="EVD23:EVJ23"/>
    <mergeCell ref="ESS23:ESY23"/>
    <mergeCell ref="ESZ23:ETF23"/>
    <mergeCell ref="ETG23:ETM23"/>
    <mergeCell ref="ETN23:ETT23"/>
    <mergeCell ref="ETU23:EUA23"/>
    <mergeCell ref="ERJ23:ERP23"/>
    <mergeCell ref="ERQ23:ERW23"/>
    <mergeCell ref="ERX23:ESD23"/>
    <mergeCell ref="ESE23:ESK23"/>
    <mergeCell ref="ESL23:ESR23"/>
    <mergeCell ref="EQA23:EQG23"/>
    <mergeCell ref="EQH23:EQN23"/>
    <mergeCell ref="EQO23:EQU23"/>
    <mergeCell ref="EQV23:ERB23"/>
    <mergeCell ref="ERC23:ERI23"/>
    <mergeCell ref="EOR23:EOX23"/>
    <mergeCell ref="EOY23:EPE23"/>
    <mergeCell ref="EPF23:EPL23"/>
    <mergeCell ref="EPM23:EPS23"/>
    <mergeCell ref="EPT23:EPZ23"/>
    <mergeCell ref="ENI23:ENO23"/>
    <mergeCell ref="ENP23:ENV23"/>
    <mergeCell ref="ENW23:EOC23"/>
    <mergeCell ref="EOD23:EOJ23"/>
    <mergeCell ref="EOK23:EOQ23"/>
    <mergeCell ref="ELZ23:EMF23"/>
    <mergeCell ref="EMG23:EMM23"/>
    <mergeCell ref="EMN23:EMT23"/>
    <mergeCell ref="EMU23:ENA23"/>
    <mergeCell ref="ENB23:ENH23"/>
    <mergeCell ref="EKQ23:EKW23"/>
    <mergeCell ref="EKX23:ELD23"/>
    <mergeCell ref="ELE23:ELK23"/>
    <mergeCell ref="ELL23:ELR23"/>
    <mergeCell ref="ELS23:ELY23"/>
    <mergeCell ref="EJH23:EJN23"/>
    <mergeCell ref="EJO23:EJU23"/>
    <mergeCell ref="EJV23:EKB23"/>
    <mergeCell ref="EKC23:EKI23"/>
    <mergeCell ref="EKJ23:EKP23"/>
    <mergeCell ref="EHY23:EIE23"/>
    <mergeCell ref="EIF23:EIL23"/>
    <mergeCell ref="EIM23:EIS23"/>
    <mergeCell ref="EIT23:EIZ23"/>
    <mergeCell ref="EJA23:EJG23"/>
    <mergeCell ref="EGP23:EGV23"/>
    <mergeCell ref="EGW23:EHC23"/>
    <mergeCell ref="EHD23:EHJ23"/>
    <mergeCell ref="EHK23:EHQ23"/>
    <mergeCell ref="EHR23:EHX23"/>
    <mergeCell ref="EFG23:EFM23"/>
    <mergeCell ref="EFN23:EFT23"/>
    <mergeCell ref="EFU23:EGA23"/>
    <mergeCell ref="EGB23:EGH23"/>
    <mergeCell ref="EGI23:EGO23"/>
    <mergeCell ref="EDX23:EED23"/>
    <mergeCell ref="EEE23:EEK23"/>
    <mergeCell ref="EEL23:EER23"/>
    <mergeCell ref="EES23:EEY23"/>
    <mergeCell ref="EEZ23:EFF23"/>
    <mergeCell ref="ECO23:ECU23"/>
    <mergeCell ref="ECV23:EDB23"/>
    <mergeCell ref="EDC23:EDI23"/>
    <mergeCell ref="EDJ23:EDP23"/>
    <mergeCell ref="EDQ23:EDW23"/>
    <mergeCell ref="EBF23:EBL23"/>
    <mergeCell ref="EBM23:EBS23"/>
    <mergeCell ref="EBT23:EBZ23"/>
    <mergeCell ref="ECA23:ECG23"/>
    <mergeCell ref="ECH23:ECN23"/>
    <mergeCell ref="DZW23:EAC23"/>
    <mergeCell ref="EAD23:EAJ23"/>
    <mergeCell ref="EAK23:EAQ23"/>
    <mergeCell ref="EAR23:EAX23"/>
    <mergeCell ref="EAY23:EBE23"/>
    <mergeCell ref="DYN23:DYT23"/>
    <mergeCell ref="DYU23:DZA23"/>
    <mergeCell ref="DZB23:DZH23"/>
    <mergeCell ref="DZI23:DZO23"/>
    <mergeCell ref="DZP23:DZV23"/>
    <mergeCell ref="DXE23:DXK23"/>
    <mergeCell ref="DXL23:DXR23"/>
    <mergeCell ref="DXS23:DXY23"/>
    <mergeCell ref="DXZ23:DYF23"/>
    <mergeCell ref="DYG23:DYM23"/>
    <mergeCell ref="DVV23:DWB23"/>
    <mergeCell ref="DWC23:DWI23"/>
    <mergeCell ref="DWJ23:DWP23"/>
    <mergeCell ref="DWQ23:DWW23"/>
    <mergeCell ref="DWX23:DXD23"/>
    <mergeCell ref="DUM23:DUS23"/>
    <mergeCell ref="DUT23:DUZ23"/>
    <mergeCell ref="DVA23:DVG23"/>
    <mergeCell ref="DVH23:DVN23"/>
    <mergeCell ref="DVO23:DVU23"/>
    <mergeCell ref="DTD23:DTJ23"/>
    <mergeCell ref="DTK23:DTQ23"/>
    <mergeCell ref="DTR23:DTX23"/>
    <mergeCell ref="DTY23:DUE23"/>
    <mergeCell ref="DUF23:DUL23"/>
    <mergeCell ref="DRU23:DSA23"/>
    <mergeCell ref="DSB23:DSH23"/>
    <mergeCell ref="DSI23:DSO23"/>
    <mergeCell ref="DSP23:DSV23"/>
    <mergeCell ref="DSW23:DTC23"/>
    <mergeCell ref="DQL23:DQR23"/>
    <mergeCell ref="DQS23:DQY23"/>
    <mergeCell ref="DQZ23:DRF23"/>
    <mergeCell ref="DRG23:DRM23"/>
    <mergeCell ref="DRN23:DRT23"/>
    <mergeCell ref="DPC23:DPI23"/>
    <mergeCell ref="DPJ23:DPP23"/>
    <mergeCell ref="DPQ23:DPW23"/>
    <mergeCell ref="DPX23:DQD23"/>
    <mergeCell ref="DQE23:DQK23"/>
    <mergeCell ref="DNT23:DNZ23"/>
    <mergeCell ref="DOA23:DOG23"/>
    <mergeCell ref="DOH23:DON23"/>
    <mergeCell ref="DOO23:DOU23"/>
    <mergeCell ref="DOV23:DPB23"/>
    <mergeCell ref="DMK23:DMQ23"/>
    <mergeCell ref="DMR23:DMX23"/>
    <mergeCell ref="DMY23:DNE23"/>
    <mergeCell ref="DNF23:DNL23"/>
    <mergeCell ref="DNM23:DNS23"/>
    <mergeCell ref="DLB23:DLH23"/>
    <mergeCell ref="DLI23:DLO23"/>
    <mergeCell ref="DLP23:DLV23"/>
    <mergeCell ref="DLW23:DMC23"/>
    <mergeCell ref="DMD23:DMJ23"/>
    <mergeCell ref="DJS23:DJY23"/>
    <mergeCell ref="DJZ23:DKF23"/>
    <mergeCell ref="DKG23:DKM23"/>
    <mergeCell ref="DKN23:DKT23"/>
    <mergeCell ref="DKU23:DLA23"/>
    <mergeCell ref="DIJ23:DIP23"/>
    <mergeCell ref="DIQ23:DIW23"/>
    <mergeCell ref="DIX23:DJD23"/>
    <mergeCell ref="DJE23:DJK23"/>
    <mergeCell ref="DJL23:DJR23"/>
    <mergeCell ref="DHA23:DHG23"/>
    <mergeCell ref="DHH23:DHN23"/>
    <mergeCell ref="DHO23:DHU23"/>
    <mergeCell ref="DHV23:DIB23"/>
    <mergeCell ref="DIC23:DII23"/>
    <mergeCell ref="DFR23:DFX23"/>
    <mergeCell ref="DFY23:DGE23"/>
    <mergeCell ref="DGF23:DGL23"/>
    <mergeCell ref="DGM23:DGS23"/>
    <mergeCell ref="DGT23:DGZ23"/>
    <mergeCell ref="DEI23:DEO23"/>
    <mergeCell ref="DEP23:DEV23"/>
    <mergeCell ref="DEW23:DFC23"/>
    <mergeCell ref="DFD23:DFJ23"/>
    <mergeCell ref="DFK23:DFQ23"/>
    <mergeCell ref="DCZ23:DDF23"/>
    <mergeCell ref="DDG23:DDM23"/>
    <mergeCell ref="DDN23:DDT23"/>
    <mergeCell ref="DDU23:DEA23"/>
    <mergeCell ref="DEB23:DEH23"/>
    <mergeCell ref="DBQ23:DBW23"/>
    <mergeCell ref="DBX23:DCD23"/>
    <mergeCell ref="DCE23:DCK23"/>
    <mergeCell ref="DCL23:DCR23"/>
    <mergeCell ref="DCS23:DCY23"/>
    <mergeCell ref="DAH23:DAN23"/>
    <mergeCell ref="DAO23:DAU23"/>
    <mergeCell ref="DAV23:DBB23"/>
    <mergeCell ref="DBC23:DBI23"/>
    <mergeCell ref="DBJ23:DBP23"/>
    <mergeCell ref="CYY23:CZE23"/>
    <mergeCell ref="CZF23:CZL23"/>
    <mergeCell ref="CZM23:CZS23"/>
    <mergeCell ref="CZT23:CZZ23"/>
    <mergeCell ref="DAA23:DAG23"/>
    <mergeCell ref="CXP23:CXV23"/>
    <mergeCell ref="CXW23:CYC23"/>
    <mergeCell ref="CYD23:CYJ23"/>
    <mergeCell ref="CYK23:CYQ23"/>
    <mergeCell ref="CYR23:CYX23"/>
    <mergeCell ref="CWG23:CWM23"/>
    <mergeCell ref="CWN23:CWT23"/>
    <mergeCell ref="CWU23:CXA23"/>
    <mergeCell ref="CXB23:CXH23"/>
    <mergeCell ref="CXI23:CXO23"/>
    <mergeCell ref="CUX23:CVD23"/>
    <mergeCell ref="CVE23:CVK23"/>
    <mergeCell ref="CVL23:CVR23"/>
    <mergeCell ref="CVS23:CVY23"/>
    <mergeCell ref="CVZ23:CWF23"/>
    <mergeCell ref="CTO23:CTU23"/>
    <mergeCell ref="CTV23:CUB23"/>
    <mergeCell ref="CUC23:CUI23"/>
    <mergeCell ref="CUJ23:CUP23"/>
    <mergeCell ref="CUQ23:CUW23"/>
    <mergeCell ref="CSF23:CSL23"/>
    <mergeCell ref="CSM23:CSS23"/>
    <mergeCell ref="CST23:CSZ23"/>
    <mergeCell ref="CTA23:CTG23"/>
    <mergeCell ref="CTH23:CTN23"/>
    <mergeCell ref="CQW23:CRC23"/>
    <mergeCell ref="CRD23:CRJ23"/>
    <mergeCell ref="CRK23:CRQ23"/>
    <mergeCell ref="CRR23:CRX23"/>
    <mergeCell ref="CRY23:CSE23"/>
    <mergeCell ref="CPN23:CPT23"/>
    <mergeCell ref="CPU23:CQA23"/>
    <mergeCell ref="CQB23:CQH23"/>
    <mergeCell ref="CQI23:CQO23"/>
    <mergeCell ref="CQP23:CQV23"/>
    <mergeCell ref="COE23:COK23"/>
    <mergeCell ref="COL23:COR23"/>
    <mergeCell ref="COS23:COY23"/>
    <mergeCell ref="COZ23:CPF23"/>
    <mergeCell ref="CPG23:CPM23"/>
    <mergeCell ref="CMV23:CNB23"/>
    <mergeCell ref="CNC23:CNI23"/>
    <mergeCell ref="CNJ23:CNP23"/>
    <mergeCell ref="CNQ23:CNW23"/>
    <mergeCell ref="CNX23:COD23"/>
    <mergeCell ref="CLM23:CLS23"/>
    <mergeCell ref="CLT23:CLZ23"/>
    <mergeCell ref="CMA23:CMG23"/>
    <mergeCell ref="CMH23:CMN23"/>
    <mergeCell ref="CMO23:CMU23"/>
    <mergeCell ref="CKD23:CKJ23"/>
    <mergeCell ref="CKK23:CKQ23"/>
    <mergeCell ref="CKR23:CKX23"/>
    <mergeCell ref="CKY23:CLE23"/>
    <mergeCell ref="CLF23:CLL23"/>
    <mergeCell ref="CIU23:CJA23"/>
    <mergeCell ref="CJB23:CJH23"/>
    <mergeCell ref="CJI23:CJO23"/>
    <mergeCell ref="CJP23:CJV23"/>
    <mergeCell ref="CJW23:CKC23"/>
    <mergeCell ref="CHL23:CHR23"/>
    <mergeCell ref="CHS23:CHY23"/>
    <mergeCell ref="CHZ23:CIF23"/>
    <mergeCell ref="CIG23:CIM23"/>
    <mergeCell ref="CIN23:CIT23"/>
    <mergeCell ref="CGC23:CGI23"/>
    <mergeCell ref="CGJ23:CGP23"/>
    <mergeCell ref="CGQ23:CGW23"/>
    <mergeCell ref="CGX23:CHD23"/>
    <mergeCell ref="CHE23:CHK23"/>
    <mergeCell ref="CET23:CEZ23"/>
    <mergeCell ref="CFA23:CFG23"/>
    <mergeCell ref="CFH23:CFN23"/>
    <mergeCell ref="CFO23:CFU23"/>
    <mergeCell ref="CFV23:CGB23"/>
    <mergeCell ref="CDK23:CDQ23"/>
    <mergeCell ref="CDR23:CDX23"/>
    <mergeCell ref="CDY23:CEE23"/>
    <mergeCell ref="CEF23:CEL23"/>
    <mergeCell ref="CEM23:CES23"/>
    <mergeCell ref="CCB23:CCH23"/>
    <mergeCell ref="CCI23:CCO23"/>
    <mergeCell ref="CCP23:CCV23"/>
    <mergeCell ref="CCW23:CDC23"/>
    <mergeCell ref="CDD23:CDJ23"/>
    <mergeCell ref="CAS23:CAY23"/>
    <mergeCell ref="CAZ23:CBF23"/>
    <mergeCell ref="CBG23:CBM23"/>
    <mergeCell ref="CBN23:CBT23"/>
    <mergeCell ref="CBU23:CCA23"/>
    <mergeCell ref="BZJ23:BZP23"/>
    <mergeCell ref="BZQ23:BZW23"/>
    <mergeCell ref="BZX23:CAD23"/>
    <mergeCell ref="CAE23:CAK23"/>
    <mergeCell ref="CAL23:CAR23"/>
    <mergeCell ref="BYA23:BYG23"/>
    <mergeCell ref="BYH23:BYN23"/>
    <mergeCell ref="BYO23:BYU23"/>
    <mergeCell ref="BYV23:BZB23"/>
    <mergeCell ref="BZC23:BZI23"/>
    <mergeCell ref="BWR23:BWX23"/>
    <mergeCell ref="BWY23:BXE23"/>
    <mergeCell ref="BXF23:BXL23"/>
    <mergeCell ref="BXM23:BXS23"/>
    <mergeCell ref="BXT23:BXZ23"/>
    <mergeCell ref="BVI23:BVO23"/>
    <mergeCell ref="BVP23:BVV23"/>
    <mergeCell ref="BVW23:BWC23"/>
    <mergeCell ref="BWD23:BWJ23"/>
    <mergeCell ref="BWK23:BWQ23"/>
    <mergeCell ref="BTZ23:BUF23"/>
    <mergeCell ref="BUG23:BUM23"/>
    <mergeCell ref="BUN23:BUT23"/>
    <mergeCell ref="BUU23:BVA23"/>
    <mergeCell ref="BVB23:BVH23"/>
    <mergeCell ref="BSQ23:BSW23"/>
    <mergeCell ref="BSX23:BTD23"/>
    <mergeCell ref="BTE23:BTK23"/>
    <mergeCell ref="BTL23:BTR23"/>
    <mergeCell ref="BTS23:BTY23"/>
    <mergeCell ref="BRH23:BRN23"/>
    <mergeCell ref="BRO23:BRU23"/>
    <mergeCell ref="BRV23:BSB23"/>
    <mergeCell ref="BSC23:BSI23"/>
    <mergeCell ref="BSJ23:BSP23"/>
    <mergeCell ref="BPY23:BQE23"/>
    <mergeCell ref="BQF23:BQL23"/>
    <mergeCell ref="BQM23:BQS23"/>
    <mergeCell ref="BQT23:BQZ23"/>
    <mergeCell ref="BRA23:BRG23"/>
    <mergeCell ref="BOP23:BOV23"/>
    <mergeCell ref="BOW23:BPC23"/>
    <mergeCell ref="BPD23:BPJ23"/>
    <mergeCell ref="BPK23:BPQ23"/>
    <mergeCell ref="BPR23:BPX23"/>
    <mergeCell ref="BNG23:BNM23"/>
    <mergeCell ref="BNN23:BNT23"/>
    <mergeCell ref="BNU23:BOA23"/>
    <mergeCell ref="BOB23:BOH23"/>
    <mergeCell ref="BOI23:BOO23"/>
    <mergeCell ref="BLX23:BMD23"/>
    <mergeCell ref="BME23:BMK23"/>
    <mergeCell ref="BML23:BMR23"/>
    <mergeCell ref="BMS23:BMY23"/>
    <mergeCell ref="BMZ23:BNF23"/>
    <mergeCell ref="BKO23:BKU23"/>
    <mergeCell ref="BKV23:BLB23"/>
    <mergeCell ref="BLC23:BLI23"/>
    <mergeCell ref="BLJ23:BLP23"/>
    <mergeCell ref="BLQ23:BLW23"/>
    <mergeCell ref="BJF23:BJL23"/>
    <mergeCell ref="BJM23:BJS23"/>
    <mergeCell ref="BJT23:BJZ23"/>
    <mergeCell ref="BKA23:BKG23"/>
    <mergeCell ref="BKH23:BKN23"/>
    <mergeCell ref="BHW23:BIC23"/>
    <mergeCell ref="BID23:BIJ23"/>
    <mergeCell ref="BIK23:BIQ23"/>
    <mergeCell ref="BIR23:BIX23"/>
    <mergeCell ref="BIY23:BJE23"/>
    <mergeCell ref="BGN23:BGT23"/>
    <mergeCell ref="BGU23:BHA23"/>
    <mergeCell ref="BHB23:BHH23"/>
    <mergeCell ref="BHI23:BHO23"/>
    <mergeCell ref="BHP23:BHV23"/>
    <mergeCell ref="BFE23:BFK23"/>
    <mergeCell ref="BFL23:BFR23"/>
    <mergeCell ref="BFS23:BFY23"/>
    <mergeCell ref="BFZ23:BGF23"/>
    <mergeCell ref="BGG23:BGM23"/>
    <mergeCell ref="BDV23:BEB23"/>
    <mergeCell ref="BEC23:BEI23"/>
    <mergeCell ref="BEJ23:BEP23"/>
    <mergeCell ref="BEQ23:BEW23"/>
    <mergeCell ref="BEX23:BFD23"/>
    <mergeCell ref="BCM23:BCS23"/>
    <mergeCell ref="BCT23:BCZ23"/>
    <mergeCell ref="BDA23:BDG23"/>
    <mergeCell ref="BDH23:BDN23"/>
    <mergeCell ref="BDO23:BDU23"/>
    <mergeCell ref="BBD23:BBJ23"/>
    <mergeCell ref="BBK23:BBQ23"/>
    <mergeCell ref="BBR23:BBX23"/>
    <mergeCell ref="BBY23:BCE23"/>
    <mergeCell ref="BCF23:BCL23"/>
    <mergeCell ref="AZU23:BAA23"/>
    <mergeCell ref="BAB23:BAH23"/>
    <mergeCell ref="BAI23:BAO23"/>
    <mergeCell ref="BAP23:BAV23"/>
    <mergeCell ref="BAW23:BBC23"/>
    <mergeCell ref="AYL23:AYR23"/>
    <mergeCell ref="AYS23:AYY23"/>
    <mergeCell ref="AYZ23:AZF23"/>
    <mergeCell ref="AZG23:AZM23"/>
    <mergeCell ref="AZN23:AZT23"/>
    <mergeCell ref="AXC23:AXI23"/>
    <mergeCell ref="AXJ23:AXP23"/>
    <mergeCell ref="AXQ23:AXW23"/>
    <mergeCell ref="AXX23:AYD23"/>
    <mergeCell ref="AYE23:AYK23"/>
    <mergeCell ref="AVT23:AVZ23"/>
    <mergeCell ref="AWA23:AWG23"/>
    <mergeCell ref="AWH23:AWN23"/>
    <mergeCell ref="AWO23:AWU23"/>
    <mergeCell ref="AWV23:AXB23"/>
    <mergeCell ref="AUK23:AUQ23"/>
    <mergeCell ref="AUR23:AUX23"/>
    <mergeCell ref="AUY23:AVE23"/>
    <mergeCell ref="AVF23:AVL23"/>
    <mergeCell ref="AVM23:AVS23"/>
    <mergeCell ref="ATB23:ATH23"/>
    <mergeCell ref="ATI23:ATO23"/>
    <mergeCell ref="ATP23:ATV23"/>
    <mergeCell ref="ATW23:AUC23"/>
    <mergeCell ref="AUD23:AUJ23"/>
    <mergeCell ref="ARS23:ARY23"/>
    <mergeCell ref="ARZ23:ASF23"/>
    <mergeCell ref="ASG23:ASM23"/>
    <mergeCell ref="ASN23:AST23"/>
    <mergeCell ref="ASU23:ATA23"/>
    <mergeCell ref="AQJ23:AQP23"/>
    <mergeCell ref="AQQ23:AQW23"/>
    <mergeCell ref="AQX23:ARD23"/>
    <mergeCell ref="ARE23:ARK23"/>
    <mergeCell ref="ARL23:ARR23"/>
    <mergeCell ref="APA23:APG23"/>
    <mergeCell ref="APH23:APN23"/>
    <mergeCell ref="APO23:APU23"/>
    <mergeCell ref="APV23:AQB23"/>
    <mergeCell ref="AQC23:AQI23"/>
    <mergeCell ref="ANR23:ANX23"/>
    <mergeCell ref="ANY23:AOE23"/>
    <mergeCell ref="AOF23:AOL23"/>
    <mergeCell ref="AOM23:AOS23"/>
    <mergeCell ref="AOT23:AOZ23"/>
    <mergeCell ref="AMI23:AMO23"/>
    <mergeCell ref="AMP23:AMV23"/>
    <mergeCell ref="AMW23:ANC23"/>
    <mergeCell ref="AND23:ANJ23"/>
    <mergeCell ref="ANK23:ANQ23"/>
    <mergeCell ref="AKZ23:ALF23"/>
    <mergeCell ref="ALG23:ALM23"/>
    <mergeCell ref="ALN23:ALT23"/>
    <mergeCell ref="ALU23:AMA23"/>
    <mergeCell ref="AMB23:AMH23"/>
    <mergeCell ref="AJQ23:AJW23"/>
    <mergeCell ref="AJX23:AKD23"/>
    <mergeCell ref="AKE23:AKK23"/>
    <mergeCell ref="AKL23:AKR23"/>
    <mergeCell ref="AKS23:AKY23"/>
    <mergeCell ref="AIH23:AIN23"/>
    <mergeCell ref="AIO23:AIU23"/>
    <mergeCell ref="AIV23:AJB23"/>
    <mergeCell ref="AJC23:AJI23"/>
    <mergeCell ref="AJJ23:AJP23"/>
    <mergeCell ref="AGY23:AHE23"/>
    <mergeCell ref="AHF23:AHL23"/>
    <mergeCell ref="AHM23:AHS23"/>
    <mergeCell ref="AHT23:AHZ23"/>
    <mergeCell ref="AIA23:AIG23"/>
    <mergeCell ref="AFP23:AFV23"/>
    <mergeCell ref="AFW23:AGC23"/>
    <mergeCell ref="AGD23:AGJ23"/>
    <mergeCell ref="AGK23:AGQ23"/>
    <mergeCell ref="AGR23:AGX23"/>
    <mergeCell ref="AEG23:AEM23"/>
    <mergeCell ref="AEN23:AET23"/>
    <mergeCell ref="AEU23:AFA23"/>
    <mergeCell ref="AFB23:AFH23"/>
    <mergeCell ref="AFI23:AFO23"/>
    <mergeCell ref="ACX23:ADD23"/>
    <mergeCell ref="ADE23:ADK23"/>
    <mergeCell ref="ADL23:ADR23"/>
    <mergeCell ref="ADS23:ADY23"/>
    <mergeCell ref="ADZ23:AEF23"/>
    <mergeCell ref="ABO23:ABU23"/>
    <mergeCell ref="ABV23:ACB23"/>
    <mergeCell ref="ACC23:ACI23"/>
    <mergeCell ref="ACJ23:ACP23"/>
    <mergeCell ref="ACQ23:ACW23"/>
    <mergeCell ref="AAF23:AAL23"/>
    <mergeCell ref="AAM23:AAS23"/>
    <mergeCell ref="AAT23:AAZ23"/>
    <mergeCell ref="ABA23:ABG23"/>
    <mergeCell ref="ABH23:ABN23"/>
    <mergeCell ref="YW23:ZC23"/>
    <mergeCell ref="ZD23:ZJ23"/>
    <mergeCell ref="ZK23:ZQ23"/>
    <mergeCell ref="ZR23:ZX23"/>
    <mergeCell ref="ZY23:AAE23"/>
    <mergeCell ref="XN23:XT23"/>
    <mergeCell ref="XU23:YA23"/>
    <mergeCell ref="YB23:YH23"/>
    <mergeCell ref="YI23:YO23"/>
    <mergeCell ref="YP23:YV23"/>
    <mergeCell ref="WE23:WK23"/>
    <mergeCell ref="WL23:WR23"/>
    <mergeCell ref="WS23:WY23"/>
    <mergeCell ref="WZ23:XF23"/>
    <mergeCell ref="XG23:XM23"/>
    <mergeCell ref="UV23:VB23"/>
    <mergeCell ref="VC23:VI23"/>
    <mergeCell ref="VJ23:VP23"/>
    <mergeCell ref="VQ23:VW23"/>
    <mergeCell ref="VX23:WD23"/>
    <mergeCell ref="TM23:TS23"/>
    <mergeCell ref="TT23:TZ23"/>
    <mergeCell ref="UA23:UG23"/>
    <mergeCell ref="UH23:UN23"/>
    <mergeCell ref="UO23:UU23"/>
    <mergeCell ref="SD23:SJ23"/>
    <mergeCell ref="SK23:SQ23"/>
    <mergeCell ref="SR23:SX23"/>
    <mergeCell ref="SY23:TE23"/>
    <mergeCell ref="TF23:TL23"/>
    <mergeCell ref="QU23:RA23"/>
    <mergeCell ref="RB23:RH23"/>
    <mergeCell ref="RI23:RO23"/>
    <mergeCell ref="RP23:RV23"/>
    <mergeCell ref="RW23:SC23"/>
    <mergeCell ref="PL23:PR23"/>
    <mergeCell ref="PS23:PY23"/>
    <mergeCell ref="PZ23:QF23"/>
    <mergeCell ref="QG23:QM23"/>
    <mergeCell ref="QN23:QT23"/>
    <mergeCell ref="OC23:OI23"/>
    <mergeCell ref="OJ23:OP23"/>
    <mergeCell ref="OQ23:OW23"/>
    <mergeCell ref="OX23:PD23"/>
    <mergeCell ref="PE23:PK23"/>
    <mergeCell ref="MT23:MZ23"/>
    <mergeCell ref="NA23:NG23"/>
    <mergeCell ref="NH23:NN23"/>
    <mergeCell ref="NO23:NU23"/>
    <mergeCell ref="NV23:OB23"/>
    <mergeCell ref="LK23:LQ23"/>
    <mergeCell ref="LR23:LX23"/>
    <mergeCell ref="LY23:ME23"/>
    <mergeCell ref="MF23:ML23"/>
    <mergeCell ref="MM23:MS23"/>
    <mergeCell ref="KB23:KH23"/>
    <mergeCell ref="KI23:KO23"/>
    <mergeCell ref="KP23:KV23"/>
    <mergeCell ref="KW23:LC23"/>
    <mergeCell ref="LD23:LJ23"/>
    <mergeCell ref="IZ23:JF23"/>
    <mergeCell ref="JG23:JM23"/>
    <mergeCell ref="JN23:JT23"/>
    <mergeCell ref="JU23:KA23"/>
    <mergeCell ref="HJ23:HP23"/>
    <mergeCell ref="HQ23:HW23"/>
    <mergeCell ref="HX23:ID23"/>
    <mergeCell ref="IE23:IK23"/>
    <mergeCell ref="IL23:IR23"/>
    <mergeCell ref="GA23:GG23"/>
    <mergeCell ref="GH23:GN23"/>
    <mergeCell ref="GO23:GU23"/>
    <mergeCell ref="GV23:HB23"/>
    <mergeCell ref="HC23:HI23"/>
    <mergeCell ref="ER23:EX23"/>
    <mergeCell ref="EY23:FE23"/>
    <mergeCell ref="FF23:FL23"/>
    <mergeCell ref="FM23:FS23"/>
    <mergeCell ref="FT23:FZ23"/>
    <mergeCell ref="EK23:EQ23"/>
    <mergeCell ref="BZ23:CF23"/>
    <mergeCell ref="CG23:CM23"/>
    <mergeCell ref="CN23:CT23"/>
    <mergeCell ref="CU23:DA23"/>
    <mergeCell ref="DB23:DH23"/>
    <mergeCell ref="AQ23:AW23"/>
    <mergeCell ref="AX23:BD23"/>
    <mergeCell ref="BE23:BK23"/>
    <mergeCell ref="BL23:BR23"/>
    <mergeCell ref="BS23:BY23"/>
    <mergeCell ref="H23:N23"/>
    <mergeCell ref="O23:U23"/>
    <mergeCell ref="V23:AB23"/>
    <mergeCell ref="AC23:AI23"/>
    <mergeCell ref="AJ23:AP23"/>
    <mergeCell ref="IS23:IY23"/>
    <mergeCell ref="A21:G21"/>
    <mergeCell ref="A23:G23"/>
    <mergeCell ref="A7:G7"/>
    <mergeCell ref="A9:A10"/>
    <mergeCell ref="B9:B10"/>
    <mergeCell ref="C9:G9"/>
    <mergeCell ref="C8:G8"/>
    <mergeCell ref="B20:F20"/>
    <mergeCell ref="E1:G1"/>
    <mergeCell ref="E2:G2"/>
    <mergeCell ref="E3:G3"/>
    <mergeCell ref="E4:G4"/>
    <mergeCell ref="E5:G5"/>
    <mergeCell ref="DI23:DO23"/>
    <mergeCell ref="DP23:DV23"/>
    <mergeCell ref="DW23:EC23"/>
    <mergeCell ref="ED23:EJ23"/>
  </mergeCells>
  <pageMargins left="0.7" right="0.7" top="0.75" bottom="0.75" header="0.3" footer="0.3"/>
  <pageSetup paperSize="9" orientation="landscape" verticalDpi="0" r:id="rId1"/>
  <ignoredErrors>
    <ignoredError sqref="G12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13</vt:i4>
      </vt:variant>
      <vt:variant>
        <vt:lpstr>Именованные диапазоны</vt:lpstr>
      </vt:variant>
      <vt:variant>
        <vt:i4>7</vt:i4>
      </vt:variant>
    </vt:vector>
  </HeadingPairs>
  <TitlesOfParts>
    <vt:vector size="20" baseType="lpstr">
      <vt:lpstr>Расчет на СТУ</vt:lpstr>
      <vt:lpstr>Сводная по корр</vt:lpstr>
      <vt:lpstr>факт. (за 2 квартал)</vt:lpstr>
      <vt:lpstr>2 год</vt:lpstr>
      <vt:lpstr>факт. на 01.07. с примеч (2)</vt:lpstr>
      <vt:lpstr>испол. на 18.07. с примеч</vt:lpstr>
      <vt:lpstr>исполнение на 15.07.2014г.</vt:lpstr>
      <vt:lpstr>Сведение на корректировку</vt:lpstr>
      <vt:lpstr>Трансп.с ценовыми предл.</vt:lpstr>
      <vt:lpstr>2014 </vt:lpstr>
      <vt:lpstr>2015</vt:lpstr>
      <vt:lpstr>свод</vt:lpstr>
      <vt:lpstr>свод 2</vt:lpstr>
      <vt:lpstr>'2 год'!Заголовки_для_печати</vt:lpstr>
      <vt:lpstr>'испол. на 18.07. с примеч'!Заголовки_для_печати</vt:lpstr>
      <vt:lpstr>'исполнение на 15.07.2014г.'!Заголовки_для_печати</vt:lpstr>
      <vt:lpstr>'Сведение на корректировку'!Заголовки_для_печати</vt:lpstr>
      <vt:lpstr>свод!Заголовки_для_печати</vt:lpstr>
      <vt:lpstr>'факт. (за 2 квартал)'!Заголовки_для_печати</vt:lpstr>
      <vt:lpstr>'факт. на 01.07. с примеч (2)'!Заголовки_для_печати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2016-04-12T11:42:30Z</dcterms:modified>
</cp:coreProperties>
</file>